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pivotTables/pivotTable2.xml" ContentType="application/vnd.openxmlformats-officedocument.spreadsheetml.pivotTable+xml"/>
  <Override PartName="/xl/drawings/drawing3.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d.docs.live.net/8ae98f8971f943e3/Desktop/7_Website/Project Management maxi/"/>
    </mc:Choice>
  </mc:AlternateContent>
  <xr:revisionPtr revIDLastSave="0" documentId="8_{64FD9869-9A35-4CFB-8231-785623BBE491}" xr6:coauthVersionLast="47" xr6:coauthVersionMax="47" xr10:uidLastSave="{00000000-0000-0000-0000-000000000000}"/>
  <bookViews>
    <workbookView xWindow="-110" yWindow="-110" windowWidth="19420" windowHeight="10300" xr2:uid="{B176C7D8-2D31-44E9-8DAF-DC587C8D6D48}"/>
  </bookViews>
  <sheets>
    <sheet name="Dashboard" sheetId="6" r:id="rId1"/>
    <sheet name="FTE Reporting PLAN" sheetId="3" r:id="rId2"/>
    <sheet name="FTE Reporting ACT" sheetId="5" r:id="rId3"/>
    <sheet name="FTE Reporting PLAN ACT" sheetId="17" r:id="rId4"/>
    <sheet name="Umsatz PLAN" sheetId="27" r:id="rId5"/>
    <sheet name="Umsatz ACT" sheetId="28" r:id="rId6"/>
    <sheet name="Umsatz PLAN ACT " sheetId="29" r:id="rId7"/>
    <sheet name="Pivot 1 FTE" sheetId="19" r:id="rId8"/>
    <sheet name="Pivot 2 Umsatz " sheetId="32" r:id="rId9"/>
    <sheet name="Drop Downs" sheetId="4" state="hidden" r:id="rId10"/>
  </sheets>
  <definedNames>
    <definedName name="Datenschnitt_Company">#N/A</definedName>
    <definedName name="Datenschnitt_Company1">#N/A</definedName>
    <definedName name="Datenschnitt_PLAN___ACT">#N/A</definedName>
    <definedName name="Datenschnitt_PLAN___ACT1">#N/A</definedName>
    <definedName name="Datenschnitt_Plant">#N/A</definedName>
    <definedName name="Datenschnitt_Plant1">#N/A</definedName>
    <definedName name="Datenschnitt_Region">#N/A</definedName>
    <definedName name="Datenschnitt_Region1">#N/A</definedName>
  </definedNames>
  <calcPr calcId="191029"/>
  <pivotCaches>
    <pivotCache cacheId="173" r:id="rId11"/>
    <pivotCache cacheId="179" r:id="rId12"/>
  </pivotCaches>
  <extLst>
    <ext xmlns:x14="http://schemas.microsoft.com/office/spreadsheetml/2009/9/main" uri="{BBE1A952-AA13-448e-AADC-164F8A28A991}">
      <x14:slicerCaches>
        <x14:slicerCache r:id="rId13"/>
        <x14:slicerCache r:id="rId14"/>
        <x14:slicerCache r:id="rId15"/>
        <x14:slicerCache r:id="rId16"/>
        <x14:slicerCache r:id="rId17"/>
        <x14:slicerCache r:id="rId18"/>
        <x14:slicerCache r:id="rId19"/>
        <x14:slicerCache r:id="rId2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9" i="29" l="1"/>
  <c r="O29" i="29"/>
  <c r="N29" i="29"/>
  <c r="M29" i="29"/>
  <c r="L29" i="29"/>
  <c r="K29" i="29"/>
  <c r="J29" i="29"/>
  <c r="I29" i="29"/>
  <c r="H29" i="29"/>
  <c r="G29" i="29"/>
  <c r="F29" i="29"/>
  <c r="E29" i="29"/>
  <c r="P27" i="29"/>
  <c r="O27" i="29"/>
  <c r="N27" i="29"/>
  <c r="M27" i="29"/>
  <c r="L27" i="29"/>
  <c r="K27" i="29"/>
  <c r="J27" i="29"/>
  <c r="I27" i="29"/>
  <c r="H27" i="29"/>
  <c r="G27" i="29"/>
  <c r="F27" i="29"/>
  <c r="E27" i="29"/>
  <c r="P25" i="29"/>
  <c r="O25" i="29"/>
  <c r="N25" i="29"/>
  <c r="M25" i="29"/>
  <c r="L25" i="29"/>
  <c r="K25" i="29"/>
  <c r="J25" i="29"/>
  <c r="I25" i="29"/>
  <c r="H25" i="29"/>
  <c r="G25" i="29"/>
  <c r="F25" i="29"/>
  <c r="E25" i="29"/>
  <c r="P23" i="29"/>
  <c r="O23" i="29"/>
  <c r="N23" i="29"/>
  <c r="M23" i="29"/>
  <c r="L23" i="29"/>
  <c r="K23" i="29"/>
  <c r="J23" i="29"/>
  <c r="I23" i="29"/>
  <c r="H23" i="29"/>
  <c r="G23" i="29"/>
  <c r="F23" i="29"/>
  <c r="E23" i="29"/>
  <c r="P21" i="29"/>
  <c r="O21" i="29"/>
  <c r="N21" i="29"/>
  <c r="M21" i="29"/>
  <c r="L21" i="29"/>
  <c r="K21" i="29"/>
  <c r="J21" i="29"/>
  <c r="I21" i="29"/>
  <c r="H21" i="29"/>
  <c r="G21" i="29"/>
  <c r="F21" i="29"/>
  <c r="E21" i="29"/>
  <c r="P19" i="29"/>
  <c r="O19" i="29"/>
  <c r="N19" i="29"/>
  <c r="M19" i="29"/>
  <c r="L19" i="29"/>
  <c r="K19" i="29"/>
  <c r="J19" i="29"/>
  <c r="I19" i="29"/>
  <c r="H19" i="29"/>
  <c r="G19" i="29"/>
  <c r="F19" i="29"/>
  <c r="E19" i="29"/>
  <c r="P17" i="29"/>
  <c r="O17" i="29"/>
  <c r="N17" i="29"/>
  <c r="M17" i="29"/>
  <c r="L17" i="29"/>
  <c r="K17" i="29"/>
  <c r="J17" i="29"/>
  <c r="I17" i="29"/>
  <c r="H17" i="29"/>
  <c r="G17" i="29"/>
  <c r="F17" i="29"/>
  <c r="E17" i="29"/>
  <c r="P15" i="29"/>
  <c r="O15" i="29"/>
  <c r="N15" i="29"/>
  <c r="M15" i="29"/>
  <c r="L15" i="29"/>
  <c r="K15" i="29"/>
  <c r="J15" i="29"/>
  <c r="I15" i="29"/>
  <c r="H15" i="29"/>
  <c r="G15" i="29"/>
  <c r="F15" i="29"/>
  <c r="E15" i="29"/>
  <c r="P13" i="29"/>
  <c r="O13" i="29"/>
  <c r="N13" i="29"/>
  <c r="M13" i="29"/>
  <c r="L13" i="29"/>
  <c r="K13" i="29"/>
  <c r="J13" i="29"/>
  <c r="I13" i="29"/>
  <c r="H13" i="29"/>
  <c r="G13" i="29"/>
  <c r="F13" i="29"/>
  <c r="E13" i="29"/>
  <c r="P11" i="29"/>
  <c r="O11" i="29"/>
  <c r="N11" i="29"/>
  <c r="M11" i="29"/>
  <c r="L11" i="29"/>
  <c r="K11" i="29"/>
  <c r="J11" i="29"/>
  <c r="I11" i="29"/>
  <c r="H11" i="29"/>
  <c r="G11" i="29"/>
  <c r="F11" i="29"/>
  <c r="E11" i="29"/>
  <c r="P9" i="29"/>
  <c r="O9" i="29"/>
  <c r="N9" i="29"/>
  <c r="M9" i="29"/>
  <c r="L9" i="29"/>
  <c r="K9" i="29"/>
  <c r="J9" i="29"/>
  <c r="I9" i="29"/>
  <c r="H9" i="29"/>
  <c r="G9" i="29"/>
  <c r="F9" i="29"/>
  <c r="E9" i="29"/>
  <c r="P7" i="29"/>
  <c r="O7" i="29"/>
  <c r="N7" i="29"/>
  <c r="M7" i="29"/>
  <c r="L7" i="29"/>
  <c r="K7" i="29"/>
  <c r="J7" i="29"/>
  <c r="I7" i="29"/>
  <c r="H7" i="29"/>
  <c r="G7" i="29"/>
  <c r="F7" i="29"/>
  <c r="E7" i="29"/>
  <c r="P28" i="29"/>
  <c r="O28" i="29"/>
  <c r="N28" i="29"/>
  <c r="M28" i="29"/>
  <c r="L28" i="29"/>
  <c r="K28" i="29"/>
  <c r="J28" i="29"/>
  <c r="I28" i="29"/>
  <c r="H28" i="29"/>
  <c r="G28" i="29"/>
  <c r="F28" i="29"/>
  <c r="E28" i="29"/>
  <c r="P26" i="29"/>
  <c r="O26" i="29"/>
  <c r="N26" i="29"/>
  <c r="M26" i="29"/>
  <c r="L26" i="29"/>
  <c r="K26" i="29"/>
  <c r="J26" i="29"/>
  <c r="I26" i="29"/>
  <c r="H26" i="29"/>
  <c r="G26" i="29"/>
  <c r="F26" i="29"/>
  <c r="E26" i="29"/>
  <c r="P24" i="29"/>
  <c r="O24" i="29"/>
  <c r="N24" i="29"/>
  <c r="M24" i="29"/>
  <c r="L24" i="29"/>
  <c r="K24" i="29"/>
  <c r="J24" i="29"/>
  <c r="I24" i="29"/>
  <c r="H24" i="29"/>
  <c r="G24" i="29"/>
  <c r="F24" i="29"/>
  <c r="E24" i="29"/>
  <c r="P22" i="29"/>
  <c r="O22" i="29"/>
  <c r="N22" i="29"/>
  <c r="M22" i="29"/>
  <c r="L22" i="29"/>
  <c r="K22" i="29"/>
  <c r="J22" i="29"/>
  <c r="I22" i="29"/>
  <c r="H22" i="29"/>
  <c r="G22" i="29"/>
  <c r="F22" i="29"/>
  <c r="E22" i="29"/>
  <c r="P20" i="29"/>
  <c r="O20" i="29"/>
  <c r="N20" i="29"/>
  <c r="M20" i="29"/>
  <c r="L20" i="29"/>
  <c r="K20" i="29"/>
  <c r="J20" i="29"/>
  <c r="I20" i="29"/>
  <c r="H20" i="29"/>
  <c r="G20" i="29"/>
  <c r="F20" i="29"/>
  <c r="E20" i="29"/>
  <c r="P18" i="29"/>
  <c r="O18" i="29"/>
  <c r="N18" i="29"/>
  <c r="M18" i="29"/>
  <c r="L18" i="29"/>
  <c r="K18" i="29"/>
  <c r="J18" i="29"/>
  <c r="I18" i="29"/>
  <c r="H18" i="29"/>
  <c r="G18" i="29"/>
  <c r="F18" i="29"/>
  <c r="E18" i="29"/>
  <c r="P16" i="29"/>
  <c r="O16" i="29"/>
  <c r="N16" i="29"/>
  <c r="M16" i="29"/>
  <c r="L16" i="29"/>
  <c r="K16" i="29"/>
  <c r="J16" i="29"/>
  <c r="I16" i="29"/>
  <c r="H16" i="29"/>
  <c r="G16" i="29"/>
  <c r="F16" i="29"/>
  <c r="E16" i="29"/>
  <c r="P14" i="29"/>
  <c r="O14" i="29"/>
  <c r="N14" i="29"/>
  <c r="M14" i="29"/>
  <c r="L14" i="29"/>
  <c r="K14" i="29"/>
  <c r="J14" i="29"/>
  <c r="I14" i="29"/>
  <c r="H14" i="29"/>
  <c r="G14" i="29"/>
  <c r="F14" i="29"/>
  <c r="E14" i="29"/>
  <c r="P12" i="29"/>
  <c r="O12" i="29"/>
  <c r="N12" i="29"/>
  <c r="M12" i="29"/>
  <c r="L12" i="29"/>
  <c r="K12" i="29"/>
  <c r="J12" i="29"/>
  <c r="I12" i="29"/>
  <c r="H12" i="29"/>
  <c r="G12" i="29"/>
  <c r="F12" i="29"/>
  <c r="E12" i="29"/>
  <c r="P10" i="29"/>
  <c r="O10" i="29"/>
  <c r="N10" i="29"/>
  <c r="M10" i="29"/>
  <c r="L10" i="29"/>
  <c r="K10" i="29"/>
  <c r="J10" i="29"/>
  <c r="I10" i="29"/>
  <c r="H10" i="29"/>
  <c r="G10" i="29"/>
  <c r="F10" i="29"/>
  <c r="E10" i="29"/>
  <c r="P8" i="29"/>
  <c r="O8" i="29"/>
  <c r="N8" i="29"/>
  <c r="M8" i="29"/>
  <c r="L8" i="29"/>
  <c r="K8" i="29"/>
  <c r="J8" i="29"/>
  <c r="I8" i="29"/>
  <c r="H8" i="29"/>
  <c r="G8" i="29"/>
  <c r="F8" i="29"/>
  <c r="E8" i="29"/>
  <c r="P6" i="29"/>
  <c r="O6" i="29"/>
  <c r="N6" i="29"/>
  <c r="M6" i="29"/>
  <c r="L6" i="29"/>
  <c r="K6" i="29"/>
  <c r="J6" i="29"/>
  <c r="I6" i="29"/>
  <c r="H6" i="29"/>
  <c r="G6" i="29"/>
  <c r="F6" i="29"/>
  <c r="E6" i="29"/>
  <c r="F5" i="29"/>
  <c r="G5" i="29"/>
  <c r="H5" i="29"/>
  <c r="I5" i="29"/>
  <c r="J5" i="29"/>
  <c r="K5" i="29"/>
  <c r="L5" i="29"/>
  <c r="M5" i="29"/>
  <c r="N5" i="29"/>
  <c r="O5" i="29"/>
  <c r="P5" i="29"/>
  <c r="E5" i="29"/>
  <c r="F4" i="29"/>
  <c r="G4" i="29"/>
  <c r="H4" i="29"/>
  <c r="I4" i="29"/>
  <c r="J4" i="29"/>
  <c r="K4" i="29"/>
  <c r="L4" i="29"/>
  <c r="M4" i="29"/>
  <c r="N4" i="29"/>
  <c r="O4" i="29"/>
  <c r="P4" i="29"/>
  <c r="E4" i="29"/>
  <c r="E6" i="28"/>
  <c r="E7" i="28"/>
  <c r="E8" i="28"/>
  <c r="E9" i="28"/>
  <c r="E10" i="28"/>
  <c r="E11" i="28"/>
  <c r="E12" i="28"/>
  <c r="E13" i="28"/>
  <c r="E14" i="28"/>
  <c r="E15" i="28"/>
  <c r="E16" i="28"/>
  <c r="E17" i="28"/>
  <c r="E5" i="28"/>
  <c r="E18" i="28" s="1"/>
  <c r="F3" i="27"/>
  <c r="G3" i="27"/>
  <c r="H3" i="27" s="1"/>
  <c r="I3" i="27" s="1"/>
  <c r="J3" i="27" s="1"/>
  <c r="K3" i="27" s="1"/>
  <c r="L3" i="27" s="1"/>
  <c r="M3" i="27" s="1"/>
  <c r="N3" i="27" s="1"/>
  <c r="O3" i="27" s="1"/>
  <c r="F4" i="27"/>
  <c r="G4" i="27" s="1"/>
  <c r="H4" i="27" s="1"/>
  <c r="I4" i="27" s="1"/>
  <c r="J4" i="27" s="1"/>
  <c r="K4" i="27" s="1"/>
  <c r="L4" i="27" s="1"/>
  <c r="M4" i="27" s="1"/>
  <c r="N4" i="27" s="1"/>
  <c r="O4" i="27" s="1"/>
  <c r="F5" i="27"/>
  <c r="G5" i="27" s="1"/>
  <c r="H5" i="27" s="1"/>
  <c r="I5" i="27" s="1"/>
  <c r="J5" i="27" s="1"/>
  <c r="K5" i="27" s="1"/>
  <c r="L5" i="27" s="1"/>
  <c r="M5" i="27" s="1"/>
  <c r="N5" i="27" s="1"/>
  <c r="O5" i="27" s="1"/>
  <c r="P5" i="27" s="1"/>
  <c r="F6" i="27"/>
  <c r="G6" i="27" s="1"/>
  <c r="H6" i="27" s="1"/>
  <c r="I6" i="27" s="1"/>
  <c r="J6" i="27" s="1"/>
  <c r="K6" i="27" s="1"/>
  <c r="L6" i="27" s="1"/>
  <c r="M6" i="27" s="1"/>
  <c r="N6" i="27" s="1"/>
  <c r="O6" i="27" s="1"/>
  <c r="P6" i="27" s="1"/>
  <c r="F7" i="27"/>
  <c r="G7" i="27"/>
  <c r="H7" i="27" s="1"/>
  <c r="I7" i="27" s="1"/>
  <c r="J7" i="27" s="1"/>
  <c r="K7" i="27" s="1"/>
  <c r="L7" i="27" s="1"/>
  <c r="M7" i="27" s="1"/>
  <c r="N7" i="27" s="1"/>
  <c r="O7" i="27" s="1"/>
  <c r="P7" i="27" s="1"/>
  <c r="F8" i="27"/>
  <c r="G8" i="27" s="1"/>
  <c r="H8" i="27" s="1"/>
  <c r="I8" i="27" s="1"/>
  <c r="J8" i="27" s="1"/>
  <c r="K8" i="27" s="1"/>
  <c r="L8" i="27" s="1"/>
  <c r="M8" i="27" s="1"/>
  <c r="N8" i="27" s="1"/>
  <c r="O8" i="27" s="1"/>
  <c r="F9" i="27"/>
  <c r="G9" i="27"/>
  <c r="H9" i="27"/>
  <c r="I9" i="27" s="1"/>
  <c r="J9" i="27" s="1"/>
  <c r="K9" i="27" s="1"/>
  <c r="L9" i="27" s="1"/>
  <c r="M9" i="27" s="1"/>
  <c r="N9" i="27" s="1"/>
  <c r="O9" i="27" s="1"/>
  <c r="P9" i="27" s="1"/>
  <c r="F10" i="27"/>
  <c r="G10" i="27" s="1"/>
  <c r="H10" i="27" s="1"/>
  <c r="I10" i="27" s="1"/>
  <c r="J10" i="27" s="1"/>
  <c r="K10" i="27" s="1"/>
  <c r="L10" i="27" s="1"/>
  <c r="M10" i="27" s="1"/>
  <c r="N10" i="27" s="1"/>
  <c r="O10" i="27" s="1"/>
  <c r="P10" i="27" s="1"/>
  <c r="F11" i="27"/>
  <c r="G11" i="27"/>
  <c r="H11" i="27" s="1"/>
  <c r="I11" i="27" s="1"/>
  <c r="J11" i="27" s="1"/>
  <c r="K11" i="27" s="1"/>
  <c r="L11" i="27" s="1"/>
  <c r="M11" i="27" s="1"/>
  <c r="N11" i="27" s="1"/>
  <c r="O11" i="27" s="1"/>
  <c r="F12" i="27"/>
  <c r="G12" i="27" s="1"/>
  <c r="H12" i="27" s="1"/>
  <c r="I12" i="27" s="1"/>
  <c r="J12" i="27" s="1"/>
  <c r="K12" i="27" s="1"/>
  <c r="L12" i="27" s="1"/>
  <c r="M12" i="27" s="1"/>
  <c r="N12" i="27" s="1"/>
  <c r="O12" i="27" s="1"/>
  <c r="F13" i="27"/>
  <c r="G13" i="27"/>
  <c r="H13" i="27"/>
  <c r="I13" i="27" s="1"/>
  <c r="J13" i="27" s="1"/>
  <c r="K13" i="27" s="1"/>
  <c r="L13" i="27" s="1"/>
  <c r="M13" i="27" s="1"/>
  <c r="N13" i="27" s="1"/>
  <c r="O13" i="27" s="1"/>
  <c r="P13" i="27" s="1"/>
  <c r="F14" i="27"/>
  <c r="G14" i="27" s="1"/>
  <c r="H14" i="27" s="1"/>
  <c r="I14" i="27" s="1"/>
  <c r="J14" i="27" s="1"/>
  <c r="K14" i="27" s="1"/>
  <c r="L14" i="27" s="1"/>
  <c r="M14" i="27" s="1"/>
  <c r="N14" i="27" s="1"/>
  <c r="O14" i="27" s="1"/>
  <c r="P14" i="27" s="1"/>
  <c r="F15" i="27"/>
  <c r="G15" i="27"/>
  <c r="H15" i="27" s="1"/>
  <c r="I15" i="27" s="1"/>
  <c r="J15" i="27" s="1"/>
  <c r="K15" i="27" s="1"/>
  <c r="L15" i="27" s="1"/>
  <c r="M15" i="27" s="1"/>
  <c r="N15" i="27" s="1"/>
  <c r="O15" i="27" s="1"/>
  <c r="P15" i="27" s="1"/>
  <c r="E4" i="27"/>
  <c r="E5" i="27"/>
  <c r="E6" i="27"/>
  <c r="E7" i="27"/>
  <c r="E8" i="27"/>
  <c r="E9" i="27"/>
  <c r="E10" i="27"/>
  <c r="E11" i="27"/>
  <c r="E12" i="27"/>
  <c r="E13" i="27"/>
  <c r="E14" i="27"/>
  <c r="E15" i="27"/>
  <c r="E3" i="27"/>
  <c r="C30" i="29"/>
  <c r="C29" i="29"/>
  <c r="C28" i="29"/>
  <c r="C27" i="29"/>
  <c r="C26" i="29"/>
  <c r="C25" i="29"/>
  <c r="C24" i="29"/>
  <c r="C23" i="29"/>
  <c r="C22" i="29"/>
  <c r="C21" i="29"/>
  <c r="C20" i="29"/>
  <c r="C19" i="29"/>
  <c r="C18" i="29"/>
  <c r="C17" i="29"/>
  <c r="C16" i="29"/>
  <c r="C15" i="29"/>
  <c r="C14" i="29"/>
  <c r="C13" i="29"/>
  <c r="C12" i="29"/>
  <c r="C11" i="29"/>
  <c r="C10" i="29"/>
  <c r="C9" i="29"/>
  <c r="C8" i="29"/>
  <c r="C7" i="29"/>
  <c r="C6" i="29"/>
  <c r="C5" i="29"/>
  <c r="C4" i="29"/>
  <c r="P18" i="28"/>
  <c r="O18" i="28"/>
  <c r="N18" i="28"/>
  <c r="M18" i="28"/>
  <c r="L18" i="28"/>
  <c r="K18" i="28"/>
  <c r="J18" i="28"/>
  <c r="I18" i="28"/>
  <c r="H18" i="28"/>
  <c r="G18" i="28"/>
  <c r="F18" i="28"/>
  <c r="R17" i="28"/>
  <c r="S17" i="28" s="1"/>
  <c r="P17" i="28"/>
  <c r="D17" i="28"/>
  <c r="R16" i="28"/>
  <c r="S16" i="28" s="1"/>
  <c r="P16" i="28"/>
  <c r="D16" i="28"/>
  <c r="R15" i="28"/>
  <c r="S15" i="28" s="1"/>
  <c r="P15" i="28"/>
  <c r="D15" i="28"/>
  <c r="R14" i="28"/>
  <c r="S14" i="28" s="1"/>
  <c r="P14" i="28"/>
  <c r="D14" i="28"/>
  <c r="R13" i="28"/>
  <c r="S13" i="28" s="1"/>
  <c r="P13" i="28"/>
  <c r="D13" i="28"/>
  <c r="R12" i="28"/>
  <c r="S12" i="28" s="1"/>
  <c r="P12" i="28"/>
  <c r="D12" i="28"/>
  <c r="R11" i="28"/>
  <c r="S11" i="28" s="1"/>
  <c r="P11" i="28"/>
  <c r="D11" i="28"/>
  <c r="R10" i="28"/>
  <c r="S10" i="28" s="1"/>
  <c r="P10" i="28"/>
  <c r="D10" i="28"/>
  <c r="R9" i="28"/>
  <c r="S9" i="28" s="1"/>
  <c r="P9" i="28"/>
  <c r="D9" i="28"/>
  <c r="R8" i="28"/>
  <c r="S8" i="28" s="1"/>
  <c r="P8" i="28"/>
  <c r="D8" i="28"/>
  <c r="R7" i="28"/>
  <c r="S7" i="28" s="1"/>
  <c r="P7" i="28"/>
  <c r="D7" i="28"/>
  <c r="R6" i="28"/>
  <c r="S6" i="28" s="1"/>
  <c r="P6" i="28"/>
  <c r="D6" i="28"/>
  <c r="R5" i="28"/>
  <c r="S5" i="28" s="1"/>
  <c r="P5" i="28"/>
  <c r="D5" i="28"/>
  <c r="D16" i="27"/>
  <c r="C16" i="27"/>
  <c r="C15" i="27"/>
  <c r="C14" i="27"/>
  <c r="C13" i="27"/>
  <c r="C12" i="27"/>
  <c r="C11" i="27"/>
  <c r="C10" i="27"/>
  <c r="C9" i="27"/>
  <c r="C8" i="27"/>
  <c r="C7" i="27"/>
  <c r="C6" i="27"/>
  <c r="C5" i="27"/>
  <c r="C4" i="27"/>
  <c r="C3" i="27"/>
  <c r="F13" i="3"/>
  <c r="G13" i="3" s="1"/>
  <c r="H13" i="3" s="1"/>
  <c r="I13" i="3" s="1"/>
  <c r="J13" i="3" s="1"/>
  <c r="K13" i="3" s="1"/>
  <c r="L13" i="3" s="1"/>
  <c r="M13" i="3" s="1"/>
  <c r="N13" i="3" s="1"/>
  <c r="O13" i="3" s="1"/>
  <c r="P13" i="3" s="1"/>
  <c r="E13" i="3"/>
  <c r="O29" i="17"/>
  <c r="N29" i="17"/>
  <c r="M29" i="17"/>
  <c r="L29" i="17"/>
  <c r="K29" i="17"/>
  <c r="J29" i="17"/>
  <c r="I29" i="17"/>
  <c r="H29" i="17"/>
  <c r="G29" i="17"/>
  <c r="F29" i="17"/>
  <c r="E29" i="17"/>
  <c r="O27" i="17"/>
  <c r="N27" i="17"/>
  <c r="M27" i="17"/>
  <c r="L27" i="17"/>
  <c r="K27" i="17"/>
  <c r="J27" i="17"/>
  <c r="I27" i="17"/>
  <c r="H27" i="17"/>
  <c r="G27" i="17"/>
  <c r="F27" i="17"/>
  <c r="E27" i="17"/>
  <c r="O25" i="17"/>
  <c r="N25" i="17"/>
  <c r="M25" i="17"/>
  <c r="L25" i="17"/>
  <c r="K25" i="17"/>
  <c r="J25" i="17"/>
  <c r="I25" i="17"/>
  <c r="H25" i="17"/>
  <c r="G25" i="17"/>
  <c r="F25" i="17"/>
  <c r="E25" i="17"/>
  <c r="O23" i="17"/>
  <c r="N23" i="17"/>
  <c r="M23" i="17"/>
  <c r="L23" i="17"/>
  <c r="K23" i="17"/>
  <c r="J23" i="17"/>
  <c r="I23" i="17"/>
  <c r="H23" i="17"/>
  <c r="G23" i="17"/>
  <c r="F23" i="17"/>
  <c r="E23" i="17"/>
  <c r="O21" i="17"/>
  <c r="N21" i="17"/>
  <c r="M21" i="17"/>
  <c r="L21" i="17"/>
  <c r="K21" i="17"/>
  <c r="J21" i="17"/>
  <c r="I21" i="17"/>
  <c r="H21" i="17"/>
  <c r="G21" i="17"/>
  <c r="F21" i="17"/>
  <c r="E21" i="17"/>
  <c r="O19" i="17"/>
  <c r="N19" i="17"/>
  <c r="M19" i="17"/>
  <c r="L19" i="17"/>
  <c r="K19" i="17"/>
  <c r="J19" i="17"/>
  <c r="I19" i="17"/>
  <c r="H19" i="17"/>
  <c r="G19" i="17"/>
  <c r="F19" i="17"/>
  <c r="E19" i="17"/>
  <c r="O17" i="17"/>
  <c r="N17" i="17"/>
  <c r="M17" i="17"/>
  <c r="L17" i="17"/>
  <c r="K17" i="17"/>
  <c r="J17" i="17"/>
  <c r="I17" i="17"/>
  <c r="H17" i="17"/>
  <c r="G17" i="17"/>
  <c r="F17" i="17"/>
  <c r="E17" i="17"/>
  <c r="O15" i="17"/>
  <c r="N15" i="17"/>
  <c r="M15" i="17"/>
  <c r="L15" i="17"/>
  <c r="K15" i="17"/>
  <c r="J15" i="17"/>
  <c r="I15" i="17"/>
  <c r="H15" i="17"/>
  <c r="G15" i="17"/>
  <c r="F15" i="17"/>
  <c r="E15" i="17"/>
  <c r="O13" i="17"/>
  <c r="N13" i="17"/>
  <c r="M13" i="17"/>
  <c r="L13" i="17"/>
  <c r="K13" i="17"/>
  <c r="J13" i="17"/>
  <c r="I13" i="17"/>
  <c r="H13" i="17"/>
  <c r="G13" i="17"/>
  <c r="F13" i="17"/>
  <c r="E13" i="17"/>
  <c r="O11" i="17"/>
  <c r="N11" i="17"/>
  <c r="M11" i="17"/>
  <c r="L11" i="17"/>
  <c r="K11" i="17"/>
  <c r="J11" i="17"/>
  <c r="I11" i="17"/>
  <c r="H11" i="17"/>
  <c r="G11" i="17"/>
  <c r="F11" i="17"/>
  <c r="E11" i="17"/>
  <c r="O9" i="17"/>
  <c r="N9" i="17"/>
  <c r="M9" i="17"/>
  <c r="L9" i="17"/>
  <c r="K9" i="17"/>
  <c r="J9" i="17"/>
  <c r="I9" i="17"/>
  <c r="H9" i="17"/>
  <c r="G9" i="17"/>
  <c r="F9" i="17"/>
  <c r="E9" i="17"/>
  <c r="O7" i="17"/>
  <c r="N7" i="17"/>
  <c r="M7" i="17"/>
  <c r="L7" i="17"/>
  <c r="K7" i="17"/>
  <c r="J7" i="17"/>
  <c r="I7" i="17"/>
  <c r="H7" i="17"/>
  <c r="G7" i="17"/>
  <c r="F7" i="17"/>
  <c r="E7" i="17"/>
  <c r="F5" i="17"/>
  <c r="G5" i="17"/>
  <c r="H5" i="17"/>
  <c r="I5" i="17"/>
  <c r="J5" i="17"/>
  <c r="K5" i="17"/>
  <c r="L5" i="17"/>
  <c r="M5" i="17"/>
  <c r="N5" i="17"/>
  <c r="O5" i="17"/>
  <c r="E5" i="17"/>
  <c r="P28" i="17"/>
  <c r="Q28" i="17" s="1"/>
  <c r="O28" i="17"/>
  <c r="N28" i="17"/>
  <c r="M28" i="17"/>
  <c r="L28" i="17"/>
  <c r="K28" i="17"/>
  <c r="J28" i="17"/>
  <c r="I28" i="17"/>
  <c r="H28" i="17"/>
  <c r="G28" i="17"/>
  <c r="F28" i="17"/>
  <c r="E28" i="17"/>
  <c r="G26" i="17"/>
  <c r="F26" i="17"/>
  <c r="E26" i="17"/>
  <c r="F24" i="17"/>
  <c r="E24" i="17"/>
  <c r="P22" i="17"/>
  <c r="O22" i="17"/>
  <c r="N22" i="17"/>
  <c r="M22" i="17"/>
  <c r="L22" i="17"/>
  <c r="K22" i="17"/>
  <c r="J22" i="17"/>
  <c r="I22" i="17"/>
  <c r="H22" i="17"/>
  <c r="G22" i="17"/>
  <c r="F22" i="17"/>
  <c r="E22" i="17"/>
  <c r="P20" i="17"/>
  <c r="Q20" i="17" s="1"/>
  <c r="O20" i="17"/>
  <c r="N20" i="17"/>
  <c r="M20" i="17"/>
  <c r="L20" i="17"/>
  <c r="K20" i="17"/>
  <c r="J20" i="17"/>
  <c r="I20" i="17"/>
  <c r="H20" i="17"/>
  <c r="G20" i="17"/>
  <c r="F20" i="17"/>
  <c r="E20" i="17"/>
  <c r="P18" i="17"/>
  <c r="Q18" i="17" s="1"/>
  <c r="O18" i="17"/>
  <c r="N18" i="17"/>
  <c r="M18" i="17"/>
  <c r="L18" i="17"/>
  <c r="K18" i="17"/>
  <c r="J18" i="17"/>
  <c r="I18" i="17"/>
  <c r="H18" i="17"/>
  <c r="G18" i="17"/>
  <c r="F18" i="17"/>
  <c r="E18" i="17"/>
  <c r="P16" i="17"/>
  <c r="Q16" i="17" s="1"/>
  <c r="O16" i="17"/>
  <c r="N16" i="17"/>
  <c r="M16" i="17"/>
  <c r="L16" i="17"/>
  <c r="K16" i="17"/>
  <c r="J16" i="17"/>
  <c r="I16" i="17"/>
  <c r="H16" i="17"/>
  <c r="G16" i="17"/>
  <c r="F16" i="17"/>
  <c r="E16" i="17"/>
  <c r="P14" i="17"/>
  <c r="Q14" i="17" s="1"/>
  <c r="O14" i="17"/>
  <c r="N14" i="17"/>
  <c r="M14" i="17"/>
  <c r="L14" i="17"/>
  <c r="K14" i="17"/>
  <c r="J14" i="17"/>
  <c r="I14" i="17"/>
  <c r="H14" i="17"/>
  <c r="G14" i="17"/>
  <c r="F14" i="17"/>
  <c r="E14" i="17"/>
  <c r="P12" i="17"/>
  <c r="Q12" i="17" s="1"/>
  <c r="O12" i="17"/>
  <c r="N12" i="17"/>
  <c r="M12" i="17"/>
  <c r="L12" i="17"/>
  <c r="K12" i="17"/>
  <c r="J12" i="17"/>
  <c r="I12" i="17"/>
  <c r="H12" i="17"/>
  <c r="G12" i="17"/>
  <c r="F12" i="17"/>
  <c r="E12" i="17"/>
  <c r="P10" i="17"/>
  <c r="Q10" i="17" s="1"/>
  <c r="O10" i="17"/>
  <c r="N10" i="17"/>
  <c r="M10" i="17"/>
  <c r="L10" i="17"/>
  <c r="K10" i="17"/>
  <c r="J10" i="17"/>
  <c r="I10" i="17"/>
  <c r="H10" i="17"/>
  <c r="G10" i="17"/>
  <c r="F10" i="17"/>
  <c r="E10" i="17"/>
  <c r="P8" i="17"/>
  <c r="Q8" i="17" s="1"/>
  <c r="O8" i="17"/>
  <c r="N8" i="17"/>
  <c r="M8" i="17"/>
  <c r="L8" i="17"/>
  <c r="K8" i="17"/>
  <c r="J8" i="17"/>
  <c r="I8" i="17"/>
  <c r="H8" i="17"/>
  <c r="G8" i="17"/>
  <c r="F8" i="17"/>
  <c r="E8" i="17"/>
  <c r="P6" i="17"/>
  <c r="Q6" i="17" s="1"/>
  <c r="O6" i="17"/>
  <c r="N6" i="17"/>
  <c r="M6" i="17"/>
  <c r="L6" i="17"/>
  <c r="K6" i="17"/>
  <c r="J6" i="17"/>
  <c r="I6" i="17"/>
  <c r="H6" i="17"/>
  <c r="G6" i="17"/>
  <c r="F6" i="17"/>
  <c r="E6" i="17"/>
  <c r="F4" i="17"/>
  <c r="G4" i="17"/>
  <c r="H4" i="17"/>
  <c r="I4" i="17"/>
  <c r="J4" i="17"/>
  <c r="K4" i="17"/>
  <c r="L4" i="17"/>
  <c r="M4" i="17"/>
  <c r="N4" i="17"/>
  <c r="O4" i="17"/>
  <c r="P4" i="17"/>
  <c r="E4" i="17"/>
  <c r="Q22" i="17"/>
  <c r="C29" i="17"/>
  <c r="C27" i="17"/>
  <c r="C25" i="17"/>
  <c r="C23" i="17"/>
  <c r="C21" i="17"/>
  <c r="C19" i="17"/>
  <c r="C17" i="17"/>
  <c r="C15" i="17"/>
  <c r="C13" i="17"/>
  <c r="C11" i="17"/>
  <c r="C9" i="17"/>
  <c r="C7" i="17"/>
  <c r="C5" i="17"/>
  <c r="C28" i="17"/>
  <c r="C26" i="17"/>
  <c r="C24" i="17"/>
  <c r="C22" i="17"/>
  <c r="C20" i="17"/>
  <c r="C18" i="17"/>
  <c r="C16" i="17"/>
  <c r="C14" i="17"/>
  <c r="C12" i="17"/>
  <c r="C10" i="17"/>
  <c r="C8" i="17"/>
  <c r="C6" i="17"/>
  <c r="C4" i="17"/>
  <c r="E16" i="3"/>
  <c r="D16" i="3"/>
  <c r="C16" i="3"/>
  <c r="H18" i="5"/>
  <c r="R6" i="5"/>
  <c r="S6" i="5" s="1"/>
  <c r="R7" i="5"/>
  <c r="S7" i="5" s="1"/>
  <c r="R8" i="5"/>
  <c r="S8" i="5" s="1"/>
  <c r="R9" i="5"/>
  <c r="S9" i="5" s="1"/>
  <c r="R10" i="5"/>
  <c r="S10" i="5" s="1"/>
  <c r="R11" i="5"/>
  <c r="S11" i="5" s="1"/>
  <c r="R12" i="5"/>
  <c r="S12" i="5" s="1"/>
  <c r="R13" i="5"/>
  <c r="S13" i="5" s="1"/>
  <c r="R14" i="5"/>
  <c r="S14" i="5" s="1"/>
  <c r="R15" i="5"/>
  <c r="R16" i="5"/>
  <c r="R17" i="5"/>
  <c r="S17" i="5" s="1"/>
  <c r="R5" i="5"/>
  <c r="S5" i="5" s="1"/>
  <c r="F18" i="5"/>
  <c r="G18" i="5"/>
  <c r="I18" i="5"/>
  <c r="J18" i="5"/>
  <c r="K18" i="5"/>
  <c r="L18" i="5"/>
  <c r="M18" i="5"/>
  <c r="N18" i="5"/>
  <c r="O18" i="5"/>
  <c r="E18" i="5"/>
  <c r="P17" i="5"/>
  <c r="P29" i="17" s="1"/>
  <c r="Q29" i="17" s="1"/>
  <c r="D17" i="5"/>
  <c r="P16" i="5"/>
  <c r="P27" i="17" s="1"/>
  <c r="Q27" i="17" s="1"/>
  <c r="D16" i="5"/>
  <c r="P15" i="5"/>
  <c r="P25" i="17" s="1"/>
  <c r="Q25" i="17" s="1"/>
  <c r="D15" i="5"/>
  <c r="P14" i="5"/>
  <c r="P23" i="17" s="1"/>
  <c r="Q23" i="17" s="1"/>
  <c r="D14" i="5"/>
  <c r="P13" i="5"/>
  <c r="P21" i="17" s="1"/>
  <c r="Q21" i="17" s="1"/>
  <c r="D13" i="5"/>
  <c r="P12" i="5"/>
  <c r="P19" i="17" s="1"/>
  <c r="Q19" i="17" s="1"/>
  <c r="D12" i="5"/>
  <c r="P11" i="5"/>
  <c r="P17" i="17" s="1"/>
  <c r="Q17" i="17" s="1"/>
  <c r="D11" i="5"/>
  <c r="P10" i="5"/>
  <c r="P15" i="17" s="1"/>
  <c r="Q15" i="17" s="1"/>
  <c r="D10" i="5"/>
  <c r="P9" i="5"/>
  <c r="P13" i="17" s="1"/>
  <c r="Q13" i="17" s="1"/>
  <c r="D9" i="5"/>
  <c r="P8" i="5"/>
  <c r="P11" i="17" s="1"/>
  <c r="Q11" i="17" s="1"/>
  <c r="D8" i="5"/>
  <c r="P7" i="5"/>
  <c r="P9" i="17" s="1"/>
  <c r="Q9" i="17" s="1"/>
  <c r="D7" i="5"/>
  <c r="P6" i="5"/>
  <c r="P7" i="17" s="1"/>
  <c r="Q7" i="17" s="1"/>
  <c r="D6" i="5"/>
  <c r="D5" i="5"/>
  <c r="P10" i="3"/>
  <c r="F9" i="3"/>
  <c r="G9" i="3" s="1"/>
  <c r="H9" i="3" s="1"/>
  <c r="I9" i="3" s="1"/>
  <c r="J9" i="3" s="1"/>
  <c r="K9" i="3" s="1"/>
  <c r="L9" i="3" s="1"/>
  <c r="M9" i="3" s="1"/>
  <c r="N9" i="3" s="1"/>
  <c r="O9" i="3" s="1"/>
  <c r="P9" i="3" s="1"/>
  <c r="F5" i="3"/>
  <c r="G5" i="3" s="1"/>
  <c r="H5" i="3" s="1"/>
  <c r="I5" i="3" s="1"/>
  <c r="J5" i="3" s="1"/>
  <c r="K5" i="3" s="1"/>
  <c r="L5" i="3" s="1"/>
  <c r="M5" i="3" s="1"/>
  <c r="N5" i="3" s="1"/>
  <c r="O5" i="3" s="1"/>
  <c r="P5" i="3" s="1"/>
  <c r="E6" i="3"/>
  <c r="F6" i="3" s="1"/>
  <c r="G6" i="3" s="1"/>
  <c r="E7" i="3"/>
  <c r="E8" i="3"/>
  <c r="F8" i="3" s="1"/>
  <c r="G8" i="3" s="1"/>
  <c r="H8" i="3" s="1"/>
  <c r="I8" i="3" s="1"/>
  <c r="J8" i="3" s="1"/>
  <c r="K8" i="3" s="1"/>
  <c r="L8" i="3" s="1"/>
  <c r="M8" i="3" s="1"/>
  <c r="N8" i="3" s="1"/>
  <c r="O8" i="3" s="1"/>
  <c r="P8" i="3" s="1"/>
  <c r="E9" i="3"/>
  <c r="E10" i="3"/>
  <c r="F10" i="3" s="1"/>
  <c r="G10" i="3" s="1"/>
  <c r="H10" i="3" s="1"/>
  <c r="I10" i="3" s="1"/>
  <c r="J10" i="3" s="1"/>
  <c r="K10" i="3" s="1"/>
  <c r="L10" i="3" s="1"/>
  <c r="M10" i="3" s="1"/>
  <c r="N10" i="3" s="1"/>
  <c r="O10" i="3" s="1"/>
  <c r="E11" i="3"/>
  <c r="F11" i="3" s="1"/>
  <c r="G11" i="3" s="1"/>
  <c r="H11" i="3" s="1"/>
  <c r="I11" i="3" s="1"/>
  <c r="J11" i="3" s="1"/>
  <c r="K11" i="3" s="1"/>
  <c r="L11" i="3" s="1"/>
  <c r="M11" i="3" s="1"/>
  <c r="N11" i="3" s="1"/>
  <c r="O11" i="3" s="1"/>
  <c r="P11" i="3" s="1"/>
  <c r="E12" i="3"/>
  <c r="F12" i="3" s="1"/>
  <c r="G12" i="3" s="1"/>
  <c r="H12" i="3" s="1"/>
  <c r="I12" i="3" s="1"/>
  <c r="J12" i="3" s="1"/>
  <c r="K12" i="3" s="1"/>
  <c r="L12" i="3" s="1"/>
  <c r="M12" i="3" s="1"/>
  <c r="N12" i="3" s="1"/>
  <c r="O12" i="3" s="1"/>
  <c r="P12" i="3" s="1"/>
  <c r="E14" i="3"/>
  <c r="P14" i="3" s="1"/>
  <c r="E15" i="3"/>
  <c r="C13" i="3"/>
  <c r="C14" i="3"/>
  <c r="C8" i="3"/>
  <c r="C9" i="3"/>
  <c r="C4" i="3"/>
  <c r="E4" i="3"/>
  <c r="F4" i="3" s="1"/>
  <c r="G4" i="3" s="1"/>
  <c r="H4" i="3" s="1"/>
  <c r="I4" i="3" s="1"/>
  <c r="J4" i="3" s="1"/>
  <c r="K4" i="3" s="1"/>
  <c r="L4" i="3" s="1"/>
  <c r="M4" i="3" s="1"/>
  <c r="N4" i="3" s="1"/>
  <c r="O4" i="3" s="1"/>
  <c r="P4" i="3" s="1"/>
  <c r="C5" i="3"/>
  <c r="E5" i="3"/>
  <c r="F15" i="3"/>
  <c r="G15" i="3" s="1"/>
  <c r="H15" i="3" s="1"/>
  <c r="I15" i="3" s="1"/>
  <c r="J15" i="3" s="1"/>
  <c r="K15" i="3" s="1"/>
  <c r="L15" i="3" s="1"/>
  <c r="M15" i="3" s="1"/>
  <c r="N15" i="3" s="1"/>
  <c r="O15" i="3" s="1"/>
  <c r="P15" i="3" s="1"/>
  <c r="E3" i="3"/>
  <c r="F3" i="3" s="1"/>
  <c r="G3" i="3" s="1"/>
  <c r="H3" i="3" s="1"/>
  <c r="I3" i="3" s="1"/>
  <c r="J3" i="3" s="1"/>
  <c r="K3" i="3" s="1"/>
  <c r="L3" i="3" s="1"/>
  <c r="M3" i="3" s="1"/>
  <c r="N3" i="3" s="1"/>
  <c r="O3" i="3" s="1"/>
  <c r="P3" i="3" s="1"/>
  <c r="F7" i="3"/>
  <c r="G7" i="3" s="1"/>
  <c r="H7" i="3" s="1"/>
  <c r="I7" i="3" s="1"/>
  <c r="J7" i="3" s="1"/>
  <c r="K7" i="3" s="1"/>
  <c r="L7" i="3" s="1"/>
  <c r="M7" i="3" s="1"/>
  <c r="N7" i="3" s="1"/>
  <c r="O7" i="3" s="1"/>
  <c r="P7" i="3" s="1"/>
  <c r="C6" i="3"/>
  <c r="C7" i="3"/>
  <c r="C10" i="3"/>
  <c r="C11" i="3"/>
  <c r="C12" i="3"/>
  <c r="C15" i="3"/>
  <c r="C3" i="3"/>
  <c r="G30" i="29" l="1"/>
  <c r="F30" i="29"/>
  <c r="N30" i="29"/>
  <c r="O30" i="29"/>
  <c r="M30" i="29"/>
  <c r="J30" i="29"/>
  <c r="H30" i="29"/>
  <c r="P30" i="29"/>
  <c r="L30" i="29"/>
  <c r="E30" i="29"/>
  <c r="I30" i="29"/>
  <c r="K30" i="29"/>
  <c r="P8" i="27"/>
  <c r="P12" i="27"/>
  <c r="P4" i="27"/>
  <c r="P11" i="27"/>
  <c r="E16" i="27"/>
  <c r="M24" i="17"/>
  <c r="S15" i="5"/>
  <c r="N24" i="17"/>
  <c r="G24" i="17"/>
  <c r="O24" i="17"/>
  <c r="H24" i="17"/>
  <c r="P24" i="17"/>
  <c r="Q24" i="17" s="1"/>
  <c r="I24" i="17"/>
  <c r="P16" i="3"/>
  <c r="J24" i="17"/>
  <c r="K24" i="17"/>
  <c r="F16" i="3"/>
  <c r="L24" i="17"/>
  <c r="H16" i="3"/>
  <c r="I26" i="17"/>
  <c r="O16" i="3"/>
  <c r="G16" i="3"/>
  <c r="J26" i="17"/>
  <c r="N16" i="3"/>
  <c r="K26" i="17"/>
  <c r="M16" i="3"/>
  <c r="L26" i="17"/>
  <c r="L16" i="3"/>
  <c r="M26" i="17"/>
  <c r="K16" i="3"/>
  <c r="N26" i="17"/>
  <c r="S16" i="5"/>
  <c r="J16" i="3"/>
  <c r="O26" i="17"/>
  <c r="I16" i="3"/>
  <c r="H26" i="17"/>
  <c r="P26" i="17"/>
  <c r="Q26" i="17" s="1"/>
  <c r="H6" i="3"/>
  <c r="F16" i="27" l="1"/>
  <c r="G16" i="27"/>
  <c r="H16" i="27"/>
  <c r="I6" i="3"/>
  <c r="I16" i="27" l="1"/>
  <c r="J6" i="3"/>
  <c r="J16" i="27" l="1"/>
  <c r="K6" i="3"/>
  <c r="K16" i="27" l="1"/>
  <c r="L6" i="3"/>
  <c r="L16" i="27" l="1"/>
  <c r="M6" i="3"/>
  <c r="M16" i="27" l="1"/>
  <c r="N6" i="3"/>
  <c r="N16" i="27" l="1"/>
  <c r="O6" i="3"/>
  <c r="P6" i="3" s="1"/>
  <c r="P3" i="27" l="1"/>
  <c r="P16" i="27" s="1"/>
  <c r="O16" i="27"/>
  <c r="P5" i="5"/>
  <c r="P18" i="5" l="1"/>
  <c r="P5" i="17"/>
  <c r="Q5" i="17" s="1"/>
  <c r="Q4" i="17" l="1"/>
</calcChain>
</file>

<file path=xl/sharedStrings.xml><?xml version="1.0" encoding="utf-8"?>
<sst xmlns="http://schemas.openxmlformats.org/spreadsheetml/2006/main" count="498" uniqueCount="122">
  <si>
    <t>Total</t>
  </si>
  <si>
    <t>Company</t>
  </si>
  <si>
    <t>Region</t>
  </si>
  <si>
    <t>Jan-22</t>
  </si>
  <si>
    <t>Feb-22</t>
  </si>
  <si>
    <t>Mar-22</t>
  </si>
  <si>
    <t>Apr-22</t>
  </si>
  <si>
    <t>May-22</t>
  </si>
  <si>
    <t>Jun-22</t>
  </si>
  <si>
    <t>Jul-22</t>
  </si>
  <si>
    <t>Aug-22</t>
  </si>
  <si>
    <t>Sep-22</t>
  </si>
  <si>
    <t>Oct-22</t>
  </si>
  <si>
    <t>Nov-22</t>
  </si>
  <si>
    <t>Dec-22</t>
  </si>
  <si>
    <t>Companies</t>
  </si>
  <si>
    <t>Stuttgart</t>
  </si>
  <si>
    <t>Berlin</t>
  </si>
  <si>
    <t>Hamburg</t>
  </si>
  <si>
    <t>Philadelphia</t>
  </si>
  <si>
    <t>Las Vegas</t>
  </si>
  <si>
    <t>Shanghai</t>
  </si>
  <si>
    <t>Shenzen</t>
  </si>
  <si>
    <t>Europe</t>
  </si>
  <si>
    <t>Americas</t>
  </si>
  <si>
    <t>Asia</t>
  </si>
  <si>
    <t>Total YE</t>
  </si>
  <si>
    <t>All</t>
  </si>
  <si>
    <t>Plant</t>
  </si>
  <si>
    <t>S-01</t>
  </si>
  <si>
    <t>P-01</t>
  </si>
  <si>
    <t>S-02</t>
  </si>
  <si>
    <t>S-03</t>
  </si>
  <si>
    <t>B-01</t>
  </si>
  <si>
    <t>H-01</t>
  </si>
  <si>
    <t>H-02</t>
  </si>
  <si>
    <t>H-03</t>
  </si>
  <si>
    <t>L-01</t>
  </si>
  <si>
    <t>Sh-01</t>
  </si>
  <si>
    <t>Sh-02</t>
  </si>
  <si>
    <t>Sh-03</t>
  </si>
  <si>
    <t>Sz-01</t>
  </si>
  <si>
    <t>FTE Plan 2022</t>
  </si>
  <si>
    <t>Total YTD</t>
  </si>
  <si>
    <t>Ergebnis</t>
  </si>
  <si>
    <t>Plan</t>
  </si>
  <si>
    <t>Deviation Plan</t>
  </si>
  <si>
    <t>Category</t>
  </si>
  <si>
    <t>Project Phase</t>
  </si>
  <si>
    <t>Status</t>
  </si>
  <si>
    <t>C</t>
  </si>
  <si>
    <t>N</t>
  </si>
  <si>
    <t>A</t>
  </si>
  <si>
    <t>D</t>
  </si>
  <si>
    <t>B</t>
  </si>
  <si>
    <t>Y</t>
  </si>
  <si>
    <t>Objective</t>
  </si>
  <si>
    <t>Priority</t>
  </si>
  <si>
    <t>Risk</t>
  </si>
  <si>
    <t>Green</t>
  </si>
  <si>
    <t>Yellow</t>
  </si>
  <si>
    <t>Red</t>
  </si>
  <si>
    <t>Project Status</t>
  </si>
  <si>
    <t>Organization</t>
  </si>
  <si>
    <t>SALES</t>
  </si>
  <si>
    <t>QUALITY</t>
  </si>
  <si>
    <t>OPERATIONS</t>
  </si>
  <si>
    <t>PURCHASING</t>
  </si>
  <si>
    <t>R&amp;D</t>
  </si>
  <si>
    <t>FINANCE</t>
  </si>
  <si>
    <t>BU</t>
  </si>
  <si>
    <t>GLOBAL</t>
  </si>
  <si>
    <t>Increase Growth</t>
  </si>
  <si>
    <t>Optimize Footprint</t>
  </si>
  <si>
    <t>Improve Quality</t>
  </si>
  <si>
    <t>Push Digitalizaion</t>
  </si>
  <si>
    <t>Innovation to market</t>
  </si>
  <si>
    <t>Efficiency increase</t>
  </si>
  <si>
    <t>high</t>
  </si>
  <si>
    <t>medium</t>
  </si>
  <si>
    <t>low</t>
  </si>
  <si>
    <t>Idea</t>
  </si>
  <si>
    <t>Project Planning</t>
  </si>
  <si>
    <t>Project Implementation</t>
  </si>
  <si>
    <t>Project Initiation</t>
  </si>
  <si>
    <t>Project Closing</t>
  </si>
  <si>
    <t>Zeilenbeschriftungen</t>
  </si>
  <si>
    <t>Gesamtergebnis</t>
  </si>
  <si>
    <t>PLAN / ACT</t>
  </si>
  <si>
    <t>PLAN</t>
  </si>
  <si>
    <t>ACT</t>
  </si>
  <si>
    <t>Spaltenbeschriftungen</t>
  </si>
  <si>
    <t xml:space="preserve"> Jan-22</t>
  </si>
  <si>
    <t xml:space="preserve"> Feb-22</t>
  </si>
  <si>
    <t xml:space="preserve"> Mar-22</t>
  </si>
  <si>
    <t xml:space="preserve"> Apr-22</t>
  </si>
  <si>
    <t xml:space="preserve"> May-22</t>
  </si>
  <si>
    <t xml:space="preserve"> Jun-22</t>
  </si>
  <si>
    <t xml:space="preserve"> Jul-22</t>
  </si>
  <si>
    <t xml:space="preserve"> Aug-22</t>
  </si>
  <si>
    <t xml:space="preserve"> Sep-22</t>
  </si>
  <si>
    <t xml:space="preserve"> Oct-22</t>
  </si>
  <si>
    <t xml:space="preserve"> Nov-22</t>
  </si>
  <si>
    <t xml:space="preserve"> Dec-22</t>
  </si>
  <si>
    <t>Controlling Dashboard</t>
  </si>
  <si>
    <t>Gesamt:  Jan-22</t>
  </si>
  <si>
    <t>Gesamt:  Feb-22</t>
  </si>
  <si>
    <t>Gesamt:  Mar-22</t>
  </si>
  <si>
    <t>Gesamt:  Apr-22</t>
  </si>
  <si>
    <t>Gesamt:  May-22</t>
  </si>
  <si>
    <t>Gesamt:  Jun-22</t>
  </si>
  <si>
    <t>Gesamt:  Jul-22</t>
  </si>
  <si>
    <t>Gesamt:  Aug-22</t>
  </si>
  <si>
    <t>Gesamt:  Sep-22</t>
  </si>
  <si>
    <t>Gesamt:  Oct-22</t>
  </si>
  <si>
    <t>Gesamt:  Nov-22</t>
  </si>
  <si>
    <t>Gesamt:  Dec-22</t>
  </si>
  <si>
    <t>Umsatz Plan 2022 in m€</t>
  </si>
  <si>
    <t>Umsatz PLAN ACT 2022</t>
  </si>
  <si>
    <t>FTE PLAN / ACT 2022</t>
  </si>
  <si>
    <t>FTE Development</t>
  </si>
  <si>
    <t>Sales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</si>
</sst>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font>
      <sz val="11"/>
      <color theme="1"/>
      <name val="Calibri"/>
      <family val="2"/>
      <scheme val="minor"/>
    </font>
    <font>
      <sz val="11"/>
      <color theme="1"/>
      <name val="Arial"/>
      <family val="2"/>
    </font>
    <font>
      <b/>
      <sz val="10"/>
      <color theme="0"/>
      <name val="Arial"/>
      <family val="2"/>
    </font>
    <font>
      <sz val="8"/>
      <color theme="1"/>
      <name val="Arial"/>
      <family val="2"/>
    </font>
    <font>
      <b/>
      <sz val="10"/>
      <color theme="1"/>
      <name val="Arial"/>
      <family val="2"/>
    </font>
    <font>
      <sz val="11"/>
      <color theme="0"/>
      <name val="Arial"/>
      <family val="2"/>
    </font>
    <font>
      <sz val="8"/>
      <name val="Calibri"/>
      <family val="2"/>
      <scheme val="minor"/>
    </font>
    <font>
      <b/>
      <sz val="8"/>
      <color theme="0"/>
      <name val="Arial"/>
      <family val="2"/>
    </font>
    <font>
      <sz val="8"/>
      <color theme="0"/>
      <name val="Arial"/>
      <family val="2"/>
    </font>
    <font>
      <sz val="8"/>
      <color theme="1"/>
      <name val="Arial "/>
    </font>
    <font>
      <sz val="22"/>
      <color theme="0"/>
      <name val="Arial"/>
      <family val="2"/>
    </font>
    <font>
      <sz val="22"/>
      <color theme="1"/>
      <name val="Calibri"/>
      <family val="2"/>
      <scheme val="minor"/>
    </font>
    <font>
      <sz val="6"/>
      <color theme="1"/>
      <name val="Arial"/>
      <family val="2"/>
    </font>
    <font>
      <b/>
      <sz val="14"/>
      <name val="Arial "/>
    </font>
    <font>
      <b/>
      <sz val="14"/>
      <name val="Calibri"/>
      <family val="2"/>
      <scheme val="minor"/>
    </font>
    <font>
      <b/>
      <sz val="14"/>
      <color theme="0"/>
      <name val="Arial "/>
    </font>
    <font>
      <b/>
      <sz val="14"/>
      <color theme="0"/>
      <name val="Calibri"/>
      <family val="2"/>
      <scheme val="minor"/>
    </font>
  </fonts>
  <fills count="9">
    <fill>
      <patternFill patternType="none"/>
    </fill>
    <fill>
      <patternFill patternType="gray125"/>
    </fill>
    <fill>
      <patternFill patternType="solid">
        <fgColor rgb="FF006600"/>
        <bgColor indexed="64"/>
      </patternFill>
    </fill>
    <fill>
      <patternFill patternType="solid">
        <fgColor rgb="FFFFFFCC"/>
        <bgColor indexed="64"/>
      </patternFill>
    </fill>
    <fill>
      <patternFill patternType="solid">
        <fgColor theme="1"/>
        <bgColor indexed="64"/>
      </patternFill>
    </fill>
    <fill>
      <patternFill patternType="solid">
        <fgColor rgb="FF002060"/>
        <bgColor indexed="64"/>
      </patternFill>
    </fill>
    <fill>
      <patternFill patternType="solid">
        <fgColor rgb="FF33CC33"/>
        <bgColor indexed="64"/>
      </patternFill>
    </fill>
    <fill>
      <patternFill patternType="solid">
        <fgColor theme="0"/>
        <bgColor indexed="64"/>
      </patternFill>
    </fill>
    <fill>
      <patternFill patternType="solid">
        <fgColor theme="1" tint="0.4999847407452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42">
    <xf numFmtId="0" fontId="0" fillId="0" borderId="0" xfId="0"/>
    <xf numFmtId="0" fontId="1" fillId="0" borderId="0" xfId="0" applyFont="1"/>
    <xf numFmtId="0" fontId="3" fillId="0" borderId="0" xfId="0" applyFont="1"/>
    <xf numFmtId="0" fontId="4" fillId="0" borderId="0" xfId="0" applyFont="1"/>
    <xf numFmtId="17" fontId="4" fillId="0" borderId="0" xfId="0" applyNumberFormat="1" applyFont="1"/>
    <xf numFmtId="0" fontId="5" fillId="2" borderId="0" xfId="0" applyFont="1" applyFill="1"/>
    <xf numFmtId="1" fontId="3" fillId="0" borderId="0" xfId="0" applyNumberFormat="1" applyFont="1"/>
    <xf numFmtId="0" fontId="3" fillId="0" borderId="0" xfId="0" applyNumberFormat="1" applyFont="1"/>
    <xf numFmtId="0" fontId="5" fillId="0" borderId="0" xfId="0" applyFont="1" applyFill="1"/>
    <xf numFmtId="0" fontId="1" fillId="0" borderId="0" xfId="0" applyFont="1" applyFill="1"/>
    <xf numFmtId="0" fontId="2" fillId="2" borderId="0" xfId="0" applyFont="1" applyFill="1"/>
    <xf numFmtId="0" fontId="3" fillId="0" borderId="2" xfId="0" applyFont="1" applyBorder="1"/>
    <xf numFmtId="0" fontId="1" fillId="0" borderId="2" xfId="0" applyFont="1" applyBorder="1"/>
    <xf numFmtId="0" fontId="3" fillId="0" borderId="0" xfId="0" applyFont="1" applyAlignment="1">
      <alignment horizontal="center" vertical="center"/>
    </xf>
    <xf numFmtId="0" fontId="3" fillId="3" borderId="1" xfId="0" applyFont="1" applyFill="1" applyBorder="1" applyAlignment="1">
      <alignment horizontal="center" vertical="center"/>
    </xf>
    <xf numFmtId="0" fontId="5" fillId="2" borderId="0" xfId="0" applyFont="1" applyFill="1" applyAlignment="1">
      <alignment horizontal="center" vertical="center"/>
    </xf>
    <xf numFmtId="17" fontId="4" fillId="0" borderId="0" xfId="0" applyNumberFormat="1" applyFont="1" applyAlignment="1">
      <alignment horizontal="center" vertical="center"/>
    </xf>
    <xf numFmtId="3" fontId="7" fillId="2" borderId="0" xfId="0" applyNumberFormat="1" applyFont="1" applyFill="1"/>
    <xf numFmtId="0" fontId="1" fillId="0" borderId="0" xfId="0" applyFont="1" applyAlignment="1">
      <alignment horizontal="center"/>
    </xf>
    <xf numFmtId="0" fontId="1" fillId="0" borderId="0" xfId="0" applyFont="1" applyFill="1" applyAlignment="1">
      <alignment horizontal="center"/>
    </xf>
    <xf numFmtId="0" fontId="2" fillId="2" borderId="0" xfId="0" applyFont="1" applyFill="1" applyAlignment="1">
      <alignment horizontal="center"/>
    </xf>
    <xf numFmtId="1" fontId="3" fillId="0" borderId="2" xfId="0" applyNumberFormat="1" applyFont="1" applyBorder="1" applyAlignment="1">
      <alignment horizontal="center"/>
    </xf>
    <xf numFmtId="0" fontId="1" fillId="0" borderId="2" xfId="0" applyFont="1" applyBorder="1" applyAlignment="1">
      <alignment horizontal="center"/>
    </xf>
    <xf numFmtId="0" fontId="3" fillId="0" borderId="1" xfId="0" applyFont="1" applyBorder="1"/>
    <xf numFmtId="0" fontId="8" fillId="4" borderId="1" xfId="0" applyFont="1" applyFill="1" applyBorder="1"/>
    <xf numFmtId="0" fontId="9" fillId="0" borderId="0" xfId="0" applyFont="1" applyFill="1"/>
    <xf numFmtId="0" fontId="0" fillId="0" borderId="0" xfId="0" applyFill="1"/>
    <xf numFmtId="0" fontId="12" fillId="0" borderId="0" xfId="0" applyFont="1" applyAlignment="1">
      <alignment horizontal="center" vertical="center"/>
    </xf>
    <xf numFmtId="0"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3" fontId="0" fillId="0" borderId="0" xfId="0" applyNumberFormat="1"/>
    <xf numFmtId="0" fontId="10" fillId="7" borderId="0" xfId="0" applyFont="1" applyFill="1" applyAlignment="1">
      <alignment horizontal="center" vertical="center"/>
    </xf>
    <xf numFmtId="0" fontId="11" fillId="7" borderId="0" xfId="0" applyFont="1" applyFill="1" applyAlignment="1"/>
    <xf numFmtId="0" fontId="0" fillId="7" borderId="0" xfId="0" applyFill="1"/>
    <xf numFmtId="0" fontId="13" fillId="6" borderId="0" xfId="0" applyFont="1" applyFill="1" applyAlignment="1">
      <alignment horizontal="center" vertical="center"/>
    </xf>
    <xf numFmtId="0" fontId="14" fillId="6" borderId="0" xfId="0" applyFont="1" applyFill="1" applyAlignment="1">
      <alignment horizontal="center" vertical="center"/>
    </xf>
    <xf numFmtId="0" fontId="15" fillId="5" borderId="0" xfId="0" applyFont="1" applyFill="1" applyAlignment="1">
      <alignment horizontal="center" vertical="center"/>
    </xf>
    <xf numFmtId="0" fontId="16" fillId="5" borderId="0" xfId="0" applyFont="1" applyFill="1" applyAlignment="1">
      <alignment horizontal="center" vertical="center"/>
    </xf>
    <xf numFmtId="0" fontId="10" fillId="8" borderId="0" xfId="0" applyFont="1" applyFill="1" applyAlignment="1">
      <alignment horizontal="center" vertical="center"/>
    </xf>
    <xf numFmtId="0" fontId="11" fillId="8" borderId="0" xfId="0" applyFont="1" applyFill="1" applyAlignment="1"/>
  </cellXfs>
  <cellStyles count="1">
    <cellStyle name="Standard" xfId="0" builtinId="0"/>
  </cellStyles>
  <dxfs count="147">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1" formatCode="0"/>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rgb="FF000000"/>
        <name val="Arial"/>
        <family val="2"/>
        <scheme val="none"/>
      </font>
    </dxf>
    <dxf>
      <font>
        <b/>
        <i val="0"/>
        <strike val="0"/>
        <condense val="0"/>
        <extend val="0"/>
        <outline val="0"/>
        <shadow val="0"/>
        <u val="none"/>
        <vertAlign val="baseline"/>
        <sz val="10"/>
        <color theme="1"/>
        <name val="Arial"/>
        <family val="2"/>
        <scheme val="none"/>
      </font>
      <numFmt numFmtId="22" formatCode="mmm\-yy"/>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rgb="FF000000"/>
        <name val="Arial"/>
        <family val="2"/>
        <scheme val="none"/>
      </font>
    </dxf>
    <dxf>
      <font>
        <b/>
        <i val="0"/>
        <strike val="0"/>
        <condense val="0"/>
        <extend val="0"/>
        <outline val="0"/>
        <shadow val="0"/>
        <u val="none"/>
        <vertAlign val="baseline"/>
        <sz val="10"/>
        <color theme="1"/>
        <name val="Arial"/>
        <family val="2"/>
        <scheme val="none"/>
      </font>
      <numFmt numFmtId="22" formatCode="mmm\-yy"/>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rgb="FF000000"/>
        <name val="Arial"/>
        <family val="2"/>
        <scheme val="none"/>
      </font>
    </dxf>
    <dxf>
      <font>
        <b/>
        <i val="0"/>
        <strike val="0"/>
        <condense val="0"/>
        <extend val="0"/>
        <outline val="0"/>
        <shadow val="0"/>
        <u val="none"/>
        <vertAlign val="baseline"/>
        <sz val="10"/>
        <color theme="1"/>
        <name val="Arial"/>
        <family val="2"/>
        <scheme val="none"/>
      </font>
      <numFmt numFmtId="22" formatCode="mmm\-yy"/>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rgb="FF000000"/>
        <name val="Arial"/>
        <family val="2"/>
        <scheme val="none"/>
      </font>
    </dxf>
    <dxf>
      <font>
        <b/>
        <i val="0"/>
        <strike val="0"/>
        <condense val="0"/>
        <extend val="0"/>
        <outline val="0"/>
        <shadow val="0"/>
        <u val="none"/>
        <vertAlign val="baseline"/>
        <sz val="10"/>
        <color theme="1"/>
        <name val="Arial"/>
        <family val="2"/>
        <scheme val="none"/>
      </font>
      <numFmt numFmtId="22" formatCode="mmm\-yy"/>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rgb="FF000000"/>
        <name val="Arial"/>
        <family val="2"/>
        <scheme val="none"/>
      </font>
    </dxf>
    <dxf>
      <font>
        <b/>
        <i val="0"/>
        <strike val="0"/>
        <condense val="0"/>
        <extend val="0"/>
        <outline val="0"/>
        <shadow val="0"/>
        <u val="none"/>
        <vertAlign val="baseline"/>
        <sz val="10"/>
        <color theme="1"/>
        <name val="Arial"/>
        <family val="2"/>
        <scheme val="none"/>
      </font>
      <numFmt numFmtId="22" formatCode="mmm\-yy"/>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numFmt numFmtId="0" formatCode="General"/>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theme="1"/>
        <name val="Arial"/>
        <family val="2"/>
        <scheme val="none"/>
      </font>
    </dxf>
    <dxf>
      <font>
        <b/>
        <i val="0"/>
        <strike val="0"/>
        <condense val="0"/>
        <extend val="0"/>
        <outline val="0"/>
        <shadow val="0"/>
        <u val="none"/>
        <vertAlign val="baseline"/>
        <sz val="10"/>
        <color theme="1"/>
        <name val="Arial"/>
        <family val="2"/>
        <scheme val="none"/>
      </font>
      <numFmt numFmtId="22" formatCode="mmm\-yy"/>
    </dxf>
    <dxf>
      <fill>
        <patternFill>
          <bgColor theme="0" tint="-4.9989318521683403E-2"/>
        </patternFill>
      </fill>
    </dxf>
    <dxf>
      <fill>
        <patternFill>
          <bgColor theme="0" tint="-4.9989318521683403E-2"/>
        </patternFill>
      </fill>
    </dxf>
    <dxf>
      <fill>
        <patternFill>
          <bgColor theme="0" tint="-0.14996795556505021"/>
        </patternFill>
      </fill>
    </dxf>
    <dxf>
      <font>
        <color theme="0"/>
      </font>
      <fill>
        <patternFill>
          <bgColor rgb="FF006600"/>
        </patternFill>
      </fill>
    </dxf>
    <dxf>
      <font>
        <color theme="0"/>
      </font>
      <fill>
        <patternFill>
          <bgColor rgb="FF006600"/>
        </patternFill>
      </fill>
    </dxf>
    <dxf>
      <font>
        <b val="0"/>
        <i val="0"/>
        <color auto="1"/>
      </font>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ill>
        <patternFill>
          <bgColor theme="0" tint="-0.24994659260841701"/>
        </patternFill>
      </fill>
    </dxf>
    <dxf>
      <border>
        <left style="thin">
          <color theme="0" tint="-0.14996795556505021"/>
        </left>
        <right style="thin">
          <color theme="0" tint="-0.14996795556505021"/>
        </right>
        <top style="thin">
          <color theme="0" tint="-0.14996795556505021"/>
        </top>
        <bottom style="thin">
          <color theme="0" tint="-0.14996795556505021"/>
        </bottom>
      </border>
    </dxf>
    <dxf>
      <fill>
        <patternFill>
          <bgColor theme="9" tint="0.39994506668294322"/>
        </patternFill>
      </fill>
    </dxf>
    <dxf>
      <border>
        <left style="thin">
          <color theme="0" tint="-0.14996795556505021"/>
        </left>
        <right style="thin">
          <color theme="0" tint="-0.14996795556505021"/>
        </right>
        <top style="thin">
          <color theme="0" tint="-0.14996795556505021"/>
        </top>
        <bottom style="thin">
          <color theme="0" tint="-0.14996795556505021"/>
        </bottom>
      </border>
    </dxf>
  </dxfs>
  <tableStyles count="3" defaultTableStyle="Tabellenformat 3" defaultPivotStyle="PivotStyleLight16">
    <tableStyle name="Datenschnittformat 1" pivot="0" table="0" count="3" xr9:uid="{6F949386-AFEF-40E7-BDEE-EF2E5A307DE2}">
      <tableStyleElement type="wholeTable" dxfId="146"/>
      <tableStyleElement type="headerRow" dxfId="145"/>
    </tableStyle>
    <tableStyle name="Datenschnittformat 2" pivot="0" table="0" count="3" xr9:uid="{FC6F8E5D-62E8-450D-8C87-436B29E43137}">
      <tableStyleElement type="wholeTable" dxfId="144"/>
      <tableStyleElement type="headerRow" dxfId="143"/>
    </tableStyle>
    <tableStyle name="Tabellenformat 3" pivot="0" count="6" xr9:uid="{0F8D412E-24CA-44F9-960A-C7011765DE23}">
      <tableStyleElement type="wholeTable" dxfId="142"/>
      <tableStyleElement type="headerRow" dxfId="141"/>
      <tableStyleElement type="totalRow" dxfId="140"/>
      <tableStyleElement type="firstColumn" dxfId="139"/>
      <tableStyleElement type="secondRowStripe" dxfId="138"/>
      <tableStyleElement type="firstColumnStripe" dxfId="137"/>
    </tableStyle>
  </tableStyles>
  <colors>
    <mruColors>
      <color rgb="FF33CC33"/>
      <color rgb="FF006600"/>
      <color rgb="FF00CC00"/>
      <color rgb="FFFFFFCC"/>
    </mruColors>
  </colors>
  <extLst>
    <ext xmlns:x14="http://schemas.microsoft.com/office/spreadsheetml/2009/9/main" uri="{46F421CA-312F-682f-3DD2-61675219B42D}">
      <x14:dxfs count="2">
        <dxf>
          <fill>
            <patternFill>
              <bgColor theme="0" tint="-0.14996795556505021"/>
            </patternFill>
          </fill>
        </dxf>
        <dxf>
          <fill>
            <patternFill>
              <bgColor theme="9" tint="0.79998168889431442"/>
            </patternFill>
          </fill>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1"/>
          </x14:slicerStyleElements>
        </x14:slicerStyle>
        <x14:slicerStyle name="Datenschnittforma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1.xml"/><Relationship Id="rId18" Type="http://schemas.microsoft.com/office/2007/relationships/slicerCache" Target="slicerCaches/slicerCache6.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microsoft.com/office/2007/relationships/slicerCache" Target="slicerCaches/slicerCache5.xml"/><Relationship Id="rId2" Type="http://schemas.openxmlformats.org/officeDocument/2006/relationships/worksheet" Target="worksheets/sheet2.xml"/><Relationship Id="rId16" Type="http://schemas.microsoft.com/office/2007/relationships/slicerCache" Target="slicerCaches/slicerCache4.xml"/><Relationship Id="rId20" Type="http://schemas.microsoft.com/office/2007/relationships/slicerCache" Target="slicerCaches/slicerCache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24" Type="http://schemas.openxmlformats.org/officeDocument/2006/relationships/calcChain" Target="calcChain.xml"/><Relationship Id="rId5" Type="http://schemas.openxmlformats.org/officeDocument/2006/relationships/worksheet" Target="worksheets/sheet5.xml"/><Relationship Id="rId15" Type="http://schemas.microsoft.com/office/2007/relationships/slicerCache" Target="slicerCaches/slicerCache3.xml"/><Relationship Id="rId23" Type="http://schemas.openxmlformats.org/officeDocument/2006/relationships/sharedStrings" Target="sharedStrings.xml"/><Relationship Id="rId10" Type="http://schemas.openxmlformats.org/officeDocument/2006/relationships/worksheet" Target="worksheets/sheet10.xml"/><Relationship Id="rId19" Type="http://schemas.microsoft.com/office/2007/relationships/slicerCache" Target="slicerCaches/slicerCache7.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2.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Controlling Dashboard FTE Umsatz.xlsx]Pivot 1 FTE!PivotTable4</c:name>
    <c:fmtId val="19"/>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FTE ACT versus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dLbl>
          <c:idx val="0"/>
          <c:showLegendKey val="0"/>
          <c:showVal val="0"/>
          <c:showCatName val="0"/>
          <c:showSerName val="0"/>
          <c:showPercent val="0"/>
          <c:showBubbleSize val="0"/>
          <c:extLst>
            <c:ext xmlns:c15="http://schemas.microsoft.com/office/drawing/2012/chart" uri="{CE6537A1-D6FC-4f65-9D91-7224C49458BB}"/>
          </c:extLst>
        </c:dLbl>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dLbl>
          <c:idx val="0"/>
          <c:showLegendKey val="0"/>
          <c:showVal val="0"/>
          <c:showCatName val="0"/>
          <c:showSerName val="0"/>
          <c:showPercent val="0"/>
          <c:showBubbleSize val="0"/>
          <c:extLst>
            <c:ext xmlns:c15="http://schemas.microsoft.com/office/drawing/2012/chart" uri="{CE6537A1-D6FC-4f65-9D91-7224C49458BB}"/>
          </c:extLst>
        </c:dLbl>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dLbl>
          <c:idx val="0"/>
          <c:showLegendKey val="0"/>
          <c:showVal val="0"/>
          <c:showCatName val="0"/>
          <c:showSerName val="0"/>
          <c:showPercent val="0"/>
          <c:showBubbleSize val="0"/>
          <c:extLst>
            <c:ext xmlns:c15="http://schemas.microsoft.com/office/drawing/2012/chart" uri="{CE6537A1-D6FC-4f65-9D91-7224C49458BB}"/>
          </c:extLst>
        </c:dLbl>
      </c:pivotFmt>
      <c:pivotFmt>
        <c:idx val="32"/>
        <c:dLbl>
          <c:idx val="0"/>
          <c:showLegendKey val="0"/>
          <c:showVal val="0"/>
          <c:showCatName val="0"/>
          <c:showSerName val="0"/>
          <c:showPercent val="0"/>
          <c:showBubbleSize val="0"/>
          <c:extLst>
            <c:ext xmlns:c15="http://schemas.microsoft.com/office/drawing/2012/chart" uri="{CE6537A1-D6FC-4f65-9D91-7224C49458BB}"/>
          </c:extLst>
        </c:dLbl>
      </c:pivotFmt>
      <c:pivotFmt>
        <c:idx val="33"/>
        <c:dLbl>
          <c:idx val="0"/>
          <c:showLegendKey val="0"/>
          <c:showVal val="0"/>
          <c:showCatName val="0"/>
          <c:showSerName val="0"/>
          <c:showPercent val="0"/>
          <c:showBubbleSize val="0"/>
          <c:extLst>
            <c:ext xmlns:c15="http://schemas.microsoft.com/office/drawing/2012/chart" uri="{CE6537A1-D6FC-4f65-9D91-7224C49458BB}"/>
          </c:extLst>
        </c:dLbl>
      </c:pivotFmt>
      <c:pivotFmt>
        <c:idx val="34"/>
        <c:dLbl>
          <c:idx val="0"/>
          <c:showLegendKey val="0"/>
          <c:showVal val="0"/>
          <c:showCatName val="0"/>
          <c:showSerName val="0"/>
          <c:showPercent val="0"/>
          <c:showBubbleSize val="0"/>
          <c:extLst>
            <c:ext xmlns:c15="http://schemas.microsoft.com/office/drawing/2012/chart" uri="{CE6537A1-D6FC-4f65-9D91-7224C49458BB}"/>
          </c:extLst>
        </c:dLbl>
      </c:pivotFmt>
      <c:pivotFmt>
        <c:idx val="35"/>
        <c:dLbl>
          <c:idx val="0"/>
          <c:showLegendKey val="0"/>
          <c:showVal val="0"/>
          <c:showCatName val="0"/>
          <c:showSerName val="0"/>
          <c:showPercent val="0"/>
          <c:showBubbleSize val="0"/>
          <c:extLst>
            <c:ext xmlns:c15="http://schemas.microsoft.com/office/drawing/2012/chart" uri="{CE6537A1-D6FC-4f65-9D91-7224C49458BB}"/>
          </c:extLst>
        </c:dLbl>
      </c:pivotFmt>
      <c:pivotFmt>
        <c:idx val="36"/>
        <c:dLbl>
          <c:idx val="0"/>
          <c:showLegendKey val="0"/>
          <c:showVal val="0"/>
          <c:showCatName val="0"/>
          <c:showSerName val="0"/>
          <c:showPercent val="0"/>
          <c:showBubbleSize val="0"/>
          <c:extLst>
            <c:ext xmlns:c15="http://schemas.microsoft.com/office/drawing/2012/chart" uri="{CE6537A1-D6FC-4f65-9D91-7224C49458BB}"/>
          </c:extLst>
        </c:dLbl>
      </c:pivotFmt>
      <c:pivotFmt>
        <c:idx val="37"/>
        <c:dLbl>
          <c:idx val="0"/>
          <c:showLegendKey val="0"/>
          <c:showVal val="0"/>
          <c:showCatName val="0"/>
          <c:showSerName val="0"/>
          <c:showPercent val="0"/>
          <c:showBubbleSize val="0"/>
          <c:extLst>
            <c:ext xmlns:c15="http://schemas.microsoft.com/office/drawing/2012/chart" uri="{CE6537A1-D6FC-4f65-9D91-7224C49458BB}"/>
          </c:extLst>
        </c:dLbl>
      </c:pivotFmt>
      <c:pivotFmt>
        <c:idx val="38"/>
        <c:dLbl>
          <c:idx val="0"/>
          <c:showLegendKey val="0"/>
          <c:showVal val="0"/>
          <c:showCatName val="0"/>
          <c:showSerName val="0"/>
          <c:showPercent val="0"/>
          <c:showBubbleSize val="0"/>
          <c:extLst>
            <c:ext xmlns:c15="http://schemas.microsoft.com/office/drawing/2012/chart" uri="{CE6537A1-D6FC-4f65-9D91-7224C49458BB}"/>
          </c:extLst>
        </c:dLbl>
      </c:pivotFmt>
      <c:pivotFmt>
        <c:idx val="39"/>
        <c:dLbl>
          <c:idx val="0"/>
          <c:showLegendKey val="0"/>
          <c:showVal val="0"/>
          <c:showCatName val="0"/>
          <c:showSerName val="0"/>
          <c:showPercent val="0"/>
          <c:showBubbleSize val="0"/>
          <c:extLst>
            <c:ext xmlns:c15="http://schemas.microsoft.com/office/drawing/2012/chart" uri="{CE6537A1-D6FC-4f65-9D91-7224C49458BB}"/>
          </c:extLst>
        </c:dLbl>
      </c:pivotFmt>
      <c:pivotFmt>
        <c:idx val="40"/>
        <c:dLbl>
          <c:idx val="0"/>
          <c:showLegendKey val="0"/>
          <c:showVal val="0"/>
          <c:showCatName val="0"/>
          <c:showSerName val="0"/>
          <c:showPercent val="0"/>
          <c:showBubbleSize val="0"/>
          <c:extLst>
            <c:ext xmlns:c15="http://schemas.microsoft.com/office/drawing/2012/chart" uri="{CE6537A1-D6FC-4f65-9D91-7224C49458BB}"/>
          </c:extLst>
        </c:dLbl>
      </c:pivotFmt>
      <c:pivotFmt>
        <c:idx val="41"/>
        <c:dLbl>
          <c:idx val="0"/>
          <c:showLegendKey val="0"/>
          <c:showVal val="0"/>
          <c:showCatName val="0"/>
          <c:showSerName val="0"/>
          <c:showPercent val="0"/>
          <c:showBubbleSize val="0"/>
          <c:extLst>
            <c:ext xmlns:c15="http://schemas.microsoft.com/office/drawing/2012/chart" uri="{CE6537A1-D6FC-4f65-9D91-7224C49458BB}"/>
          </c:extLst>
        </c:dLbl>
      </c:pivotFmt>
      <c:pivotFmt>
        <c:idx val="42"/>
        <c:dLbl>
          <c:idx val="0"/>
          <c:showLegendKey val="0"/>
          <c:showVal val="0"/>
          <c:showCatName val="0"/>
          <c:showSerName val="0"/>
          <c:showPercent val="0"/>
          <c:showBubbleSize val="0"/>
          <c:extLst>
            <c:ext xmlns:c15="http://schemas.microsoft.com/office/drawing/2012/chart" uri="{CE6537A1-D6FC-4f65-9D91-7224C49458BB}"/>
          </c:extLst>
        </c:dLbl>
      </c:pivotFmt>
      <c:pivotFmt>
        <c:idx val="43"/>
        <c:dLbl>
          <c:idx val="0"/>
          <c:showLegendKey val="0"/>
          <c:showVal val="0"/>
          <c:showCatName val="0"/>
          <c:showSerName val="0"/>
          <c:showPercent val="0"/>
          <c:showBubbleSize val="0"/>
          <c:extLst>
            <c:ext xmlns:c15="http://schemas.microsoft.com/office/drawing/2012/chart" uri="{CE6537A1-D6FC-4f65-9D91-7224C49458BB}"/>
          </c:extLst>
        </c:dLbl>
      </c:pivotFmt>
      <c:pivotFmt>
        <c:idx val="44"/>
        <c:dLbl>
          <c:idx val="0"/>
          <c:showLegendKey val="0"/>
          <c:showVal val="0"/>
          <c:showCatName val="0"/>
          <c:showSerName val="0"/>
          <c:showPercent val="0"/>
          <c:showBubbleSize val="0"/>
          <c:extLst>
            <c:ext xmlns:c15="http://schemas.microsoft.com/office/drawing/2012/chart" uri="{CE6537A1-D6FC-4f65-9D91-7224C49458BB}"/>
          </c:extLst>
        </c:dLbl>
      </c:pivotFmt>
      <c:pivotFmt>
        <c:idx val="45"/>
        <c:dLbl>
          <c:idx val="0"/>
          <c:showLegendKey val="0"/>
          <c:showVal val="0"/>
          <c:showCatName val="0"/>
          <c:showSerName val="0"/>
          <c:showPercent val="0"/>
          <c:showBubbleSize val="0"/>
          <c:extLst>
            <c:ext xmlns:c15="http://schemas.microsoft.com/office/drawing/2012/chart" uri="{CE6537A1-D6FC-4f65-9D91-7224C49458BB}"/>
          </c:extLst>
        </c:dLbl>
      </c:pivotFmt>
      <c:pivotFmt>
        <c:idx val="46"/>
        <c:dLbl>
          <c:idx val="0"/>
          <c:showLegendKey val="0"/>
          <c:showVal val="0"/>
          <c:showCatName val="0"/>
          <c:showSerName val="0"/>
          <c:showPercent val="0"/>
          <c:showBubbleSize val="0"/>
          <c:extLst>
            <c:ext xmlns:c15="http://schemas.microsoft.com/office/drawing/2012/chart" uri="{CE6537A1-D6FC-4f65-9D91-7224C49458BB}"/>
          </c:extLst>
        </c:dLbl>
      </c:pivotFmt>
      <c:pivotFmt>
        <c:idx val="47"/>
        <c:dLbl>
          <c:idx val="0"/>
          <c:showLegendKey val="0"/>
          <c:showVal val="0"/>
          <c:showCatName val="0"/>
          <c:showSerName val="0"/>
          <c:showPercent val="0"/>
          <c:showBubbleSize val="0"/>
          <c:extLst>
            <c:ext xmlns:c15="http://schemas.microsoft.com/office/drawing/2012/chart" uri="{CE6537A1-D6FC-4f65-9D91-7224C49458BB}"/>
          </c:extLst>
        </c:dLbl>
      </c:pivotFmt>
      <c:pivotFmt>
        <c:idx val="48"/>
        <c:dLbl>
          <c:idx val="0"/>
          <c:showLegendKey val="0"/>
          <c:showVal val="0"/>
          <c:showCatName val="0"/>
          <c:showSerName val="0"/>
          <c:showPercent val="0"/>
          <c:showBubbleSize val="0"/>
          <c:extLst>
            <c:ext xmlns:c15="http://schemas.microsoft.com/office/drawing/2012/chart" uri="{CE6537A1-D6FC-4f65-9D91-7224C49458BB}"/>
          </c:extLst>
        </c:dLbl>
      </c:pivotFmt>
      <c:pivotFmt>
        <c:idx val="49"/>
        <c:dLbl>
          <c:idx val="0"/>
          <c:showLegendKey val="0"/>
          <c:showVal val="0"/>
          <c:showCatName val="0"/>
          <c:showSerName val="0"/>
          <c:showPercent val="0"/>
          <c:showBubbleSize val="0"/>
          <c:extLst>
            <c:ext xmlns:c15="http://schemas.microsoft.com/office/drawing/2012/chart" uri="{CE6537A1-D6FC-4f65-9D91-7224C49458BB}"/>
          </c:extLst>
        </c:dLbl>
      </c:pivotFmt>
      <c:pivotFmt>
        <c:idx val="50"/>
        <c:dLbl>
          <c:idx val="0"/>
          <c:showLegendKey val="0"/>
          <c:showVal val="0"/>
          <c:showCatName val="0"/>
          <c:showSerName val="0"/>
          <c:showPercent val="0"/>
          <c:showBubbleSize val="0"/>
          <c:extLst>
            <c:ext xmlns:c15="http://schemas.microsoft.com/office/drawing/2012/chart" uri="{CE6537A1-D6FC-4f65-9D91-7224C49458BB}"/>
          </c:extLst>
        </c:dLbl>
      </c:pivotFmt>
      <c:pivotFmt>
        <c:idx val="51"/>
        <c:dLbl>
          <c:idx val="0"/>
          <c:showLegendKey val="0"/>
          <c:showVal val="0"/>
          <c:showCatName val="0"/>
          <c:showSerName val="0"/>
          <c:showPercent val="0"/>
          <c:showBubbleSize val="0"/>
          <c:extLst>
            <c:ext xmlns:c15="http://schemas.microsoft.com/office/drawing/2012/chart" uri="{CE6537A1-D6FC-4f65-9D91-7224C49458BB}"/>
          </c:extLst>
        </c:dLbl>
      </c:pivotFmt>
      <c:pivotFmt>
        <c:idx val="52"/>
        <c:dLbl>
          <c:idx val="0"/>
          <c:showLegendKey val="0"/>
          <c:showVal val="0"/>
          <c:showCatName val="0"/>
          <c:showSerName val="0"/>
          <c:showPercent val="0"/>
          <c:showBubbleSize val="0"/>
          <c:extLst>
            <c:ext xmlns:c15="http://schemas.microsoft.com/office/drawing/2012/chart" uri="{CE6537A1-D6FC-4f65-9D91-7224C49458BB}"/>
          </c:extLst>
        </c:dLbl>
      </c:pivotFmt>
      <c:pivotFmt>
        <c:idx val="53"/>
        <c:dLbl>
          <c:idx val="0"/>
          <c:showLegendKey val="0"/>
          <c:showVal val="0"/>
          <c:showCatName val="0"/>
          <c:showSerName val="0"/>
          <c:showPercent val="0"/>
          <c:showBubbleSize val="0"/>
          <c:extLst>
            <c:ext xmlns:c15="http://schemas.microsoft.com/office/drawing/2012/chart" uri="{CE6537A1-D6FC-4f65-9D91-7224C49458BB}"/>
          </c:extLst>
        </c:dLbl>
      </c:pivotFmt>
      <c:pivotFmt>
        <c:idx val="54"/>
        <c:dLbl>
          <c:idx val="0"/>
          <c:showLegendKey val="0"/>
          <c:showVal val="0"/>
          <c:showCatName val="0"/>
          <c:showSerName val="0"/>
          <c:showPercent val="0"/>
          <c:showBubbleSize val="0"/>
          <c:extLst>
            <c:ext xmlns:c15="http://schemas.microsoft.com/office/drawing/2012/chart" uri="{CE6537A1-D6FC-4f65-9D91-7224C49458BB}"/>
          </c:extLst>
        </c:dLbl>
      </c:pivotFmt>
      <c:pivotFmt>
        <c:idx val="55"/>
        <c:dLbl>
          <c:idx val="0"/>
          <c:showLegendKey val="0"/>
          <c:showVal val="0"/>
          <c:showCatName val="0"/>
          <c:showSerName val="0"/>
          <c:showPercent val="0"/>
          <c:showBubbleSize val="0"/>
          <c:extLst>
            <c:ext xmlns:c15="http://schemas.microsoft.com/office/drawing/2012/chart" uri="{CE6537A1-D6FC-4f65-9D91-7224C49458BB}"/>
          </c:extLst>
        </c:dLbl>
      </c:pivotFmt>
      <c:pivotFmt>
        <c:idx val="56"/>
        <c:dLbl>
          <c:idx val="0"/>
          <c:showLegendKey val="0"/>
          <c:showVal val="0"/>
          <c:showCatName val="0"/>
          <c:showSerName val="0"/>
          <c:showPercent val="0"/>
          <c:showBubbleSize val="0"/>
          <c:extLst>
            <c:ext xmlns:c15="http://schemas.microsoft.com/office/drawing/2012/chart" uri="{CE6537A1-D6FC-4f65-9D91-7224C49458BB}"/>
          </c:extLst>
        </c:dLbl>
      </c:pivotFmt>
      <c:pivotFmt>
        <c:idx val="57"/>
        <c:dLbl>
          <c:idx val="0"/>
          <c:showLegendKey val="0"/>
          <c:showVal val="0"/>
          <c:showCatName val="0"/>
          <c:showSerName val="0"/>
          <c:showPercent val="0"/>
          <c:showBubbleSize val="0"/>
          <c:extLst>
            <c:ext xmlns:c15="http://schemas.microsoft.com/office/drawing/2012/chart" uri="{CE6537A1-D6FC-4f65-9D91-7224C49458BB}"/>
          </c:extLst>
        </c:dLbl>
      </c:pivotFmt>
      <c:pivotFmt>
        <c:idx val="58"/>
        <c:dLbl>
          <c:idx val="0"/>
          <c:showLegendKey val="0"/>
          <c:showVal val="0"/>
          <c:showCatName val="0"/>
          <c:showSerName val="0"/>
          <c:showPercent val="0"/>
          <c:showBubbleSize val="0"/>
          <c:extLst>
            <c:ext xmlns:c15="http://schemas.microsoft.com/office/drawing/2012/chart" uri="{CE6537A1-D6FC-4f65-9D91-7224C49458BB}"/>
          </c:extLst>
        </c:dLbl>
      </c:pivotFmt>
      <c:pivotFmt>
        <c:idx val="59"/>
        <c:dLbl>
          <c:idx val="0"/>
          <c:showLegendKey val="0"/>
          <c:showVal val="0"/>
          <c:showCatName val="0"/>
          <c:showSerName val="0"/>
          <c:showPercent val="0"/>
          <c:showBubbleSize val="0"/>
          <c:extLst>
            <c:ext xmlns:c15="http://schemas.microsoft.com/office/drawing/2012/chart" uri="{CE6537A1-D6FC-4f65-9D91-7224C49458BB}"/>
          </c:extLst>
        </c:dLbl>
      </c:pivotFmt>
      <c:pivotFmt>
        <c:idx val="60"/>
        <c:dLbl>
          <c:idx val="0"/>
          <c:showLegendKey val="0"/>
          <c:showVal val="0"/>
          <c:showCatName val="0"/>
          <c:showSerName val="0"/>
          <c:showPercent val="0"/>
          <c:showBubbleSize val="0"/>
          <c:extLst>
            <c:ext xmlns:c15="http://schemas.microsoft.com/office/drawing/2012/chart" uri="{CE6537A1-D6FC-4f65-9D91-7224C49458BB}"/>
          </c:extLst>
        </c:dLbl>
      </c:pivotFmt>
      <c:pivotFmt>
        <c:idx val="61"/>
        <c:dLbl>
          <c:idx val="0"/>
          <c:showLegendKey val="0"/>
          <c:showVal val="0"/>
          <c:showCatName val="0"/>
          <c:showSerName val="0"/>
          <c:showPercent val="0"/>
          <c:showBubbleSize val="0"/>
          <c:extLst>
            <c:ext xmlns:c15="http://schemas.microsoft.com/office/drawing/2012/chart" uri="{CE6537A1-D6FC-4f65-9D91-7224C49458BB}"/>
          </c:extLst>
        </c:dLbl>
      </c:pivotFmt>
      <c:pivotFmt>
        <c:idx val="62"/>
        <c:dLbl>
          <c:idx val="0"/>
          <c:showLegendKey val="0"/>
          <c:showVal val="0"/>
          <c:showCatName val="0"/>
          <c:showSerName val="0"/>
          <c:showPercent val="0"/>
          <c:showBubbleSize val="0"/>
          <c:extLst>
            <c:ext xmlns:c15="http://schemas.microsoft.com/office/drawing/2012/chart" uri="{CE6537A1-D6FC-4f65-9D91-7224C49458BB}"/>
          </c:extLst>
        </c:dLbl>
      </c:pivotFmt>
      <c:pivotFmt>
        <c:idx val="63"/>
        <c:dLbl>
          <c:idx val="0"/>
          <c:showLegendKey val="0"/>
          <c:showVal val="0"/>
          <c:showCatName val="0"/>
          <c:showSerName val="0"/>
          <c:showPercent val="0"/>
          <c:showBubbleSize val="0"/>
          <c:extLst>
            <c:ext xmlns:c15="http://schemas.microsoft.com/office/drawing/2012/chart" uri="{CE6537A1-D6FC-4f65-9D91-7224C49458BB}"/>
          </c:extLst>
        </c:dLbl>
      </c:pivotFmt>
      <c:pivotFmt>
        <c:idx val="64"/>
        <c:dLbl>
          <c:idx val="0"/>
          <c:showLegendKey val="0"/>
          <c:showVal val="0"/>
          <c:showCatName val="0"/>
          <c:showSerName val="0"/>
          <c:showPercent val="0"/>
          <c:showBubbleSize val="0"/>
          <c:extLst>
            <c:ext xmlns:c15="http://schemas.microsoft.com/office/drawing/2012/chart" uri="{CE6537A1-D6FC-4f65-9D91-7224C49458BB}"/>
          </c:extLst>
        </c:dLbl>
      </c:pivotFmt>
      <c:pivotFmt>
        <c:idx val="65"/>
        <c:dLbl>
          <c:idx val="0"/>
          <c:showLegendKey val="0"/>
          <c:showVal val="0"/>
          <c:showCatName val="0"/>
          <c:showSerName val="0"/>
          <c:showPercent val="0"/>
          <c:showBubbleSize val="0"/>
          <c:extLst>
            <c:ext xmlns:c15="http://schemas.microsoft.com/office/drawing/2012/chart" uri="{CE6537A1-D6FC-4f65-9D91-7224C49458BB}"/>
          </c:extLst>
        </c:dLbl>
      </c:pivotFmt>
      <c:pivotFmt>
        <c:idx val="66"/>
        <c:dLbl>
          <c:idx val="0"/>
          <c:showLegendKey val="0"/>
          <c:showVal val="0"/>
          <c:showCatName val="0"/>
          <c:showSerName val="0"/>
          <c:showPercent val="0"/>
          <c:showBubbleSize val="0"/>
          <c:extLst>
            <c:ext xmlns:c15="http://schemas.microsoft.com/office/drawing/2012/chart" uri="{CE6537A1-D6FC-4f65-9D91-7224C49458BB}"/>
          </c:extLst>
        </c:dLbl>
      </c:pivotFmt>
      <c:pivotFmt>
        <c:idx val="67"/>
        <c:dLbl>
          <c:idx val="0"/>
          <c:showLegendKey val="0"/>
          <c:showVal val="0"/>
          <c:showCatName val="0"/>
          <c:showSerName val="0"/>
          <c:showPercent val="0"/>
          <c:showBubbleSize val="0"/>
          <c:extLst>
            <c:ext xmlns:c15="http://schemas.microsoft.com/office/drawing/2012/chart" uri="{CE6537A1-D6FC-4f65-9D91-7224C49458BB}"/>
          </c:extLst>
        </c:dLbl>
      </c:pivotFmt>
      <c:pivotFmt>
        <c:idx val="68"/>
        <c:dLbl>
          <c:idx val="0"/>
          <c:showLegendKey val="0"/>
          <c:showVal val="0"/>
          <c:showCatName val="0"/>
          <c:showSerName val="0"/>
          <c:showPercent val="0"/>
          <c:showBubbleSize val="0"/>
          <c:extLst>
            <c:ext xmlns:c15="http://schemas.microsoft.com/office/drawing/2012/chart" uri="{CE6537A1-D6FC-4f65-9D91-7224C49458BB}"/>
          </c:extLst>
        </c:dLbl>
      </c:pivotFmt>
      <c:pivotFmt>
        <c:idx val="69"/>
        <c:dLbl>
          <c:idx val="0"/>
          <c:showLegendKey val="0"/>
          <c:showVal val="0"/>
          <c:showCatName val="0"/>
          <c:showSerName val="0"/>
          <c:showPercent val="0"/>
          <c:showBubbleSize val="0"/>
          <c:extLst>
            <c:ext xmlns:c15="http://schemas.microsoft.com/office/drawing/2012/chart" uri="{CE6537A1-D6FC-4f65-9D91-7224C49458BB}"/>
          </c:extLst>
        </c:dLbl>
      </c:pivotFmt>
      <c:pivotFmt>
        <c:idx val="70"/>
        <c:dLbl>
          <c:idx val="0"/>
          <c:showLegendKey val="0"/>
          <c:showVal val="0"/>
          <c:showCatName val="0"/>
          <c:showSerName val="0"/>
          <c:showPercent val="0"/>
          <c:showBubbleSize val="0"/>
          <c:extLst>
            <c:ext xmlns:c15="http://schemas.microsoft.com/office/drawing/2012/chart" uri="{CE6537A1-D6FC-4f65-9D91-7224C49458BB}"/>
          </c:extLst>
        </c:dLbl>
      </c:pivotFmt>
      <c:pivotFmt>
        <c:idx val="71"/>
        <c:dLbl>
          <c:idx val="0"/>
          <c:showLegendKey val="0"/>
          <c:showVal val="0"/>
          <c:showCatName val="0"/>
          <c:showSerName val="0"/>
          <c:showPercent val="0"/>
          <c:showBubbleSize val="0"/>
          <c:extLst>
            <c:ext xmlns:c15="http://schemas.microsoft.com/office/drawing/2012/chart" uri="{CE6537A1-D6FC-4f65-9D91-7224C49458BB}"/>
          </c:extLst>
        </c:dLbl>
      </c:pivotFmt>
      <c:pivotFmt>
        <c:idx val="72"/>
        <c:dLbl>
          <c:idx val="0"/>
          <c:showLegendKey val="0"/>
          <c:showVal val="0"/>
          <c:showCatName val="0"/>
          <c:showSerName val="0"/>
          <c:showPercent val="0"/>
          <c:showBubbleSize val="0"/>
          <c:extLst>
            <c:ext xmlns:c15="http://schemas.microsoft.com/office/drawing/2012/chart" uri="{CE6537A1-D6FC-4f65-9D91-7224C49458BB}"/>
          </c:extLst>
        </c:dLbl>
      </c:pivotFmt>
      <c:pivotFmt>
        <c:idx val="73"/>
        <c:dLbl>
          <c:idx val="0"/>
          <c:showLegendKey val="0"/>
          <c:showVal val="0"/>
          <c:showCatName val="0"/>
          <c:showSerName val="0"/>
          <c:showPercent val="0"/>
          <c:showBubbleSize val="0"/>
          <c:extLst>
            <c:ext xmlns:c15="http://schemas.microsoft.com/office/drawing/2012/chart" uri="{CE6537A1-D6FC-4f65-9D91-7224C49458BB}"/>
          </c:extLst>
        </c:dLbl>
      </c:pivotFmt>
      <c:pivotFmt>
        <c:idx val="74"/>
        <c:dLbl>
          <c:idx val="0"/>
          <c:showLegendKey val="0"/>
          <c:showVal val="0"/>
          <c:showCatName val="0"/>
          <c:showSerName val="0"/>
          <c:showPercent val="0"/>
          <c:showBubbleSize val="0"/>
          <c:extLst>
            <c:ext xmlns:c15="http://schemas.microsoft.com/office/drawing/2012/chart" uri="{CE6537A1-D6FC-4f65-9D91-7224C49458BB}"/>
          </c:extLst>
        </c:dLbl>
      </c:pivotFmt>
      <c:pivotFmt>
        <c:idx val="75"/>
        <c:dLbl>
          <c:idx val="0"/>
          <c:showLegendKey val="0"/>
          <c:showVal val="0"/>
          <c:showCatName val="0"/>
          <c:showSerName val="0"/>
          <c:showPercent val="0"/>
          <c:showBubbleSize val="0"/>
          <c:extLst>
            <c:ext xmlns:c15="http://schemas.microsoft.com/office/drawing/2012/chart" uri="{CE6537A1-D6FC-4f65-9D91-7224C49458BB}"/>
          </c:extLst>
        </c:dLbl>
      </c:pivotFmt>
      <c:pivotFmt>
        <c:idx val="76"/>
        <c:dLbl>
          <c:idx val="0"/>
          <c:showLegendKey val="0"/>
          <c:showVal val="0"/>
          <c:showCatName val="0"/>
          <c:showSerName val="0"/>
          <c:showPercent val="0"/>
          <c:showBubbleSize val="0"/>
          <c:extLst>
            <c:ext xmlns:c15="http://schemas.microsoft.com/office/drawing/2012/chart" uri="{CE6537A1-D6FC-4f65-9D91-7224C49458BB}"/>
          </c:extLst>
        </c:dLbl>
      </c:pivotFmt>
      <c:pivotFmt>
        <c:idx val="77"/>
        <c:dLbl>
          <c:idx val="0"/>
          <c:showLegendKey val="0"/>
          <c:showVal val="0"/>
          <c:showCatName val="0"/>
          <c:showSerName val="0"/>
          <c:showPercent val="0"/>
          <c:showBubbleSize val="0"/>
          <c:extLst>
            <c:ext xmlns:c15="http://schemas.microsoft.com/office/drawing/2012/chart" uri="{CE6537A1-D6FC-4f65-9D91-7224C49458BB}"/>
          </c:extLst>
        </c:dLbl>
      </c:pivotFmt>
      <c:pivotFmt>
        <c:idx val="78"/>
        <c:dLbl>
          <c:idx val="0"/>
          <c:showLegendKey val="0"/>
          <c:showVal val="0"/>
          <c:showCatName val="0"/>
          <c:showSerName val="0"/>
          <c:showPercent val="0"/>
          <c:showBubbleSize val="0"/>
          <c:extLst>
            <c:ext xmlns:c15="http://schemas.microsoft.com/office/drawing/2012/chart" uri="{CE6537A1-D6FC-4f65-9D91-7224C49458BB}"/>
          </c:extLst>
        </c:dLbl>
      </c:pivotFmt>
      <c:pivotFmt>
        <c:idx val="79"/>
        <c:dLbl>
          <c:idx val="0"/>
          <c:showLegendKey val="0"/>
          <c:showVal val="0"/>
          <c:showCatName val="0"/>
          <c:showSerName val="0"/>
          <c:showPercent val="0"/>
          <c:showBubbleSize val="0"/>
          <c:extLst>
            <c:ext xmlns:c15="http://schemas.microsoft.com/office/drawing/2012/chart" uri="{CE6537A1-D6FC-4f65-9D91-7224C49458BB}"/>
          </c:extLst>
        </c:dLbl>
      </c:pivotFmt>
      <c:pivotFmt>
        <c:idx val="80"/>
        <c:dLbl>
          <c:idx val="0"/>
          <c:showLegendKey val="0"/>
          <c:showVal val="0"/>
          <c:showCatName val="0"/>
          <c:showSerName val="0"/>
          <c:showPercent val="0"/>
          <c:showBubbleSize val="0"/>
          <c:extLst>
            <c:ext xmlns:c15="http://schemas.microsoft.com/office/drawing/2012/chart" uri="{CE6537A1-D6FC-4f65-9D91-7224C49458BB}"/>
          </c:extLst>
        </c:dLbl>
      </c:pivotFmt>
      <c:pivotFmt>
        <c:idx val="81"/>
        <c:dLbl>
          <c:idx val="0"/>
          <c:showLegendKey val="0"/>
          <c:showVal val="0"/>
          <c:showCatName val="0"/>
          <c:showSerName val="0"/>
          <c:showPercent val="0"/>
          <c:showBubbleSize val="0"/>
          <c:extLst>
            <c:ext xmlns:c15="http://schemas.microsoft.com/office/drawing/2012/chart" uri="{CE6537A1-D6FC-4f65-9D91-7224C49458BB}"/>
          </c:extLst>
        </c:dLbl>
      </c:pivotFmt>
      <c:pivotFmt>
        <c:idx val="82"/>
        <c:dLbl>
          <c:idx val="0"/>
          <c:showLegendKey val="0"/>
          <c:showVal val="0"/>
          <c:showCatName val="0"/>
          <c:showSerName val="0"/>
          <c:showPercent val="0"/>
          <c:showBubbleSize val="0"/>
          <c:extLst>
            <c:ext xmlns:c15="http://schemas.microsoft.com/office/drawing/2012/chart" uri="{CE6537A1-D6FC-4f65-9D91-7224C49458BB}"/>
          </c:extLst>
        </c:dLbl>
      </c:pivotFmt>
      <c:pivotFmt>
        <c:idx val="83"/>
        <c:dLbl>
          <c:idx val="0"/>
          <c:showLegendKey val="0"/>
          <c:showVal val="0"/>
          <c:showCatName val="0"/>
          <c:showSerName val="0"/>
          <c:showPercent val="0"/>
          <c:showBubbleSize val="0"/>
          <c:extLst>
            <c:ext xmlns:c15="http://schemas.microsoft.com/office/drawing/2012/chart" uri="{CE6537A1-D6FC-4f65-9D91-7224C49458BB}"/>
          </c:extLst>
        </c:dLbl>
      </c:pivotFmt>
      <c:pivotFmt>
        <c:idx val="84"/>
        <c:spPr>
          <a:solidFill>
            <a:schemeClr val="accent1"/>
          </a:solidFill>
          <a:ln>
            <a:noFill/>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5"/>
        <c:dLbl>
          <c:idx val="0"/>
          <c:showLegendKey val="0"/>
          <c:showVal val="0"/>
          <c:showCatName val="0"/>
          <c:showSerName val="0"/>
          <c:showPercent val="0"/>
          <c:showBubbleSize val="0"/>
          <c:extLst>
            <c:ext xmlns:c15="http://schemas.microsoft.com/office/drawing/2012/chart" uri="{CE6537A1-D6FC-4f65-9D91-7224C49458BB}"/>
          </c:extLst>
        </c:dLbl>
      </c:pivotFmt>
      <c:pivotFmt>
        <c:idx val="86"/>
        <c:dLbl>
          <c:idx val="0"/>
          <c:showLegendKey val="0"/>
          <c:showVal val="0"/>
          <c:showCatName val="0"/>
          <c:showSerName val="0"/>
          <c:showPercent val="0"/>
          <c:showBubbleSize val="0"/>
          <c:extLst>
            <c:ext xmlns:c15="http://schemas.microsoft.com/office/drawing/2012/chart" uri="{CE6537A1-D6FC-4f65-9D91-7224C49458BB}"/>
          </c:extLst>
        </c:dLbl>
      </c:pivotFmt>
      <c:pivotFmt>
        <c:idx val="87"/>
        <c:dLbl>
          <c:idx val="0"/>
          <c:showLegendKey val="0"/>
          <c:showVal val="0"/>
          <c:showCatName val="0"/>
          <c:showSerName val="0"/>
          <c:showPercent val="0"/>
          <c:showBubbleSize val="0"/>
          <c:extLst>
            <c:ext xmlns:c15="http://schemas.microsoft.com/office/drawing/2012/chart" uri="{CE6537A1-D6FC-4f65-9D91-7224C49458BB}"/>
          </c:extLst>
        </c:dLbl>
      </c:pivotFmt>
      <c:pivotFmt>
        <c:idx val="88"/>
        <c:dLbl>
          <c:idx val="0"/>
          <c:showLegendKey val="0"/>
          <c:showVal val="0"/>
          <c:showCatName val="0"/>
          <c:showSerName val="0"/>
          <c:showPercent val="0"/>
          <c:showBubbleSize val="0"/>
          <c:extLst>
            <c:ext xmlns:c15="http://schemas.microsoft.com/office/drawing/2012/chart" uri="{CE6537A1-D6FC-4f65-9D91-7224C49458BB}"/>
          </c:extLst>
        </c:dLbl>
      </c:pivotFmt>
      <c:pivotFmt>
        <c:idx val="89"/>
        <c:dLbl>
          <c:idx val="0"/>
          <c:showLegendKey val="0"/>
          <c:showVal val="0"/>
          <c:showCatName val="0"/>
          <c:showSerName val="0"/>
          <c:showPercent val="0"/>
          <c:showBubbleSize val="0"/>
          <c:extLst>
            <c:ext xmlns:c15="http://schemas.microsoft.com/office/drawing/2012/chart" uri="{CE6537A1-D6FC-4f65-9D91-7224C49458BB}"/>
          </c:extLst>
        </c:dLbl>
      </c:pivotFmt>
      <c:pivotFmt>
        <c:idx val="90"/>
        <c:dLbl>
          <c:idx val="0"/>
          <c:showLegendKey val="0"/>
          <c:showVal val="0"/>
          <c:showCatName val="0"/>
          <c:showSerName val="0"/>
          <c:showPercent val="0"/>
          <c:showBubbleSize val="0"/>
          <c:extLst>
            <c:ext xmlns:c15="http://schemas.microsoft.com/office/drawing/2012/chart" uri="{CE6537A1-D6FC-4f65-9D91-7224C49458BB}"/>
          </c:extLst>
        </c:dLbl>
      </c:pivotFmt>
      <c:pivotFmt>
        <c:idx val="91"/>
        <c:dLbl>
          <c:idx val="0"/>
          <c:showLegendKey val="0"/>
          <c:showVal val="0"/>
          <c:showCatName val="0"/>
          <c:showSerName val="0"/>
          <c:showPercent val="0"/>
          <c:showBubbleSize val="0"/>
          <c:extLst>
            <c:ext xmlns:c15="http://schemas.microsoft.com/office/drawing/2012/chart" uri="{CE6537A1-D6FC-4f65-9D91-7224C49458BB}"/>
          </c:extLst>
        </c:dLbl>
      </c:pivotFmt>
      <c:pivotFmt>
        <c:idx val="92"/>
        <c:dLbl>
          <c:idx val="0"/>
          <c:showLegendKey val="0"/>
          <c:showVal val="0"/>
          <c:showCatName val="0"/>
          <c:showSerName val="0"/>
          <c:showPercent val="0"/>
          <c:showBubbleSize val="0"/>
          <c:extLst>
            <c:ext xmlns:c15="http://schemas.microsoft.com/office/drawing/2012/chart" uri="{CE6537A1-D6FC-4f65-9D91-7224C49458BB}"/>
          </c:extLst>
        </c:dLbl>
      </c:pivotFmt>
      <c:pivotFmt>
        <c:idx val="93"/>
        <c:dLbl>
          <c:idx val="0"/>
          <c:showLegendKey val="0"/>
          <c:showVal val="0"/>
          <c:showCatName val="0"/>
          <c:showSerName val="0"/>
          <c:showPercent val="0"/>
          <c:showBubbleSize val="0"/>
          <c:extLst>
            <c:ext xmlns:c15="http://schemas.microsoft.com/office/drawing/2012/chart" uri="{CE6537A1-D6FC-4f65-9D91-7224C49458BB}"/>
          </c:extLst>
        </c:dLbl>
      </c:pivotFmt>
      <c:pivotFmt>
        <c:idx val="94"/>
        <c:dLbl>
          <c:idx val="0"/>
          <c:showLegendKey val="0"/>
          <c:showVal val="0"/>
          <c:showCatName val="0"/>
          <c:showSerName val="0"/>
          <c:showPercent val="0"/>
          <c:showBubbleSize val="0"/>
          <c:extLst>
            <c:ext xmlns:c15="http://schemas.microsoft.com/office/drawing/2012/chart" uri="{CE6537A1-D6FC-4f65-9D91-7224C49458BB}"/>
          </c:extLst>
        </c:dLbl>
      </c:pivotFmt>
      <c:pivotFmt>
        <c:idx val="95"/>
        <c:dLbl>
          <c:idx val="0"/>
          <c:showLegendKey val="0"/>
          <c:showVal val="0"/>
          <c:showCatName val="0"/>
          <c:showSerName val="0"/>
          <c:showPercent val="0"/>
          <c:showBubbleSize val="0"/>
          <c:extLst>
            <c:ext xmlns:c15="http://schemas.microsoft.com/office/drawing/2012/chart" uri="{CE6537A1-D6FC-4f65-9D91-7224C49458BB}"/>
          </c:extLst>
        </c:dLbl>
      </c:pivotFmt>
      <c:pivotFmt>
        <c:idx val="96"/>
        <c:dLbl>
          <c:idx val="0"/>
          <c:showLegendKey val="0"/>
          <c:showVal val="0"/>
          <c:showCatName val="0"/>
          <c:showSerName val="0"/>
          <c:showPercent val="0"/>
          <c:showBubbleSize val="0"/>
          <c:extLst>
            <c:ext xmlns:c15="http://schemas.microsoft.com/office/drawing/2012/chart" uri="{CE6537A1-D6FC-4f65-9D91-7224C49458BB}"/>
          </c:extLst>
        </c:dLbl>
      </c:pivotFmt>
      <c:pivotFmt>
        <c:idx val="97"/>
        <c:dLbl>
          <c:idx val="0"/>
          <c:showLegendKey val="0"/>
          <c:showVal val="0"/>
          <c:showCatName val="0"/>
          <c:showSerName val="0"/>
          <c:showPercent val="0"/>
          <c:showBubbleSize val="0"/>
          <c:extLst>
            <c:ext xmlns:c15="http://schemas.microsoft.com/office/drawing/2012/chart" uri="{CE6537A1-D6FC-4f65-9D91-7224C49458BB}"/>
          </c:extLst>
        </c:dLbl>
      </c:pivotFmt>
      <c:pivotFmt>
        <c:idx val="98"/>
        <c:dLbl>
          <c:idx val="0"/>
          <c:showLegendKey val="0"/>
          <c:showVal val="0"/>
          <c:showCatName val="0"/>
          <c:showSerName val="0"/>
          <c:showPercent val="0"/>
          <c:showBubbleSize val="0"/>
          <c:extLst>
            <c:ext xmlns:c15="http://schemas.microsoft.com/office/drawing/2012/chart" uri="{CE6537A1-D6FC-4f65-9D91-7224C49458BB}"/>
          </c:extLst>
        </c:dLbl>
      </c:pivotFmt>
      <c:pivotFmt>
        <c:idx val="99"/>
        <c:dLbl>
          <c:idx val="0"/>
          <c:showLegendKey val="0"/>
          <c:showVal val="0"/>
          <c:showCatName val="0"/>
          <c:showSerName val="0"/>
          <c:showPercent val="0"/>
          <c:showBubbleSize val="0"/>
          <c:extLst>
            <c:ext xmlns:c15="http://schemas.microsoft.com/office/drawing/2012/chart" uri="{CE6537A1-D6FC-4f65-9D91-7224C49458BB}"/>
          </c:extLst>
        </c:dLbl>
      </c:pivotFmt>
      <c:pivotFmt>
        <c:idx val="100"/>
        <c:dLbl>
          <c:idx val="0"/>
          <c:showLegendKey val="0"/>
          <c:showVal val="0"/>
          <c:showCatName val="0"/>
          <c:showSerName val="0"/>
          <c:showPercent val="0"/>
          <c:showBubbleSize val="0"/>
          <c:extLst>
            <c:ext xmlns:c15="http://schemas.microsoft.com/office/drawing/2012/chart" uri="{CE6537A1-D6FC-4f65-9D91-7224C49458BB}"/>
          </c:extLst>
        </c:dLbl>
      </c:pivotFmt>
      <c:pivotFmt>
        <c:idx val="101"/>
        <c:dLbl>
          <c:idx val="0"/>
          <c:showLegendKey val="0"/>
          <c:showVal val="0"/>
          <c:showCatName val="0"/>
          <c:showSerName val="0"/>
          <c:showPercent val="0"/>
          <c:showBubbleSize val="0"/>
          <c:extLst>
            <c:ext xmlns:c15="http://schemas.microsoft.com/office/drawing/2012/chart" uri="{CE6537A1-D6FC-4f65-9D91-7224C49458BB}"/>
          </c:extLst>
        </c:dLbl>
      </c:pivotFmt>
      <c:pivotFmt>
        <c:idx val="102"/>
        <c:dLbl>
          <c:idx val="0"/>
          <c:showLegendKey val="0"/>
          <c:showVal val="0"/>
          <c:showCatName val="0"/>
          <c:showSerName val="0"/>
          <c:showPercent val="0"/>
          <c:showBubbleSize val="0"/>
          <c:extLst>
            <c:ext xmlns:c15="http://schemas.microsoft.com/office/drawing/2012/chart" uri="{CE6537A1-D6FC-4f65-9D91-7224C49458BB}"/>
          </c:extLst>
        </c:dLbl>
      </c:pivotFmt>
      <c:pivotFmt>
        <c:idx val="103"/>
        <c:dLbl>
          <c:idx val="0"/>
          <c:showLegendKey val="0"/>
          <c:showVal val="0"/>
          <c:showCatName val="0"/>
          <c:showSerName val="0"/>
          <c:showPercent val="0"/>
          <c:showBubbleSize val="0"/>
          <c:extLst>
            <c:ext xmlns:c15="http://schemas.microsoft.com/office/drawing/2012/chart" uri="{CE6537A1-D6FC-4f65-9D91-7224C49458BB}"/>
          </c:extLst>
        </c:dLbl>
      </c:pivotFmt>
      <c:pivotFmt>
        <c:idx val="104"/>
        <c:dLbl>
          <c:idx val="0"/>
          <c:showLegendKey val="0"/>
          <c:showVal val="0"/>
          <c:showCatName val="0"/>
          <c:showSerName val="0"/>
          <c:showPercent val="0"/>
          <c:showBubbleSize val="0"/>
          <c:extLst>
            <c:ext xmlns:c15="http://schemas.microsoft.com/office/drawing/2012/chart" uri="{CE6537A1-D6FC-4f65-9D91-7224C49458BB}"/>
          </c:extLst>
        </c:dLbl>
      </c:pivotFmt>
      <c:pivotFmt>
        <c:idx val="105"/>
        <c:dLbl>
          <c:idx val="0"/>
          <c:showLegendKey val="0"/>
          <c:showVal val="0"/>
          <c:showCatName val="0"/>
          <c:showSerName val="0"/>
          <c:showPercent val="0"/>
          <c:showBubbleSize val="0"/>
          <c:extLst>
            <c:ext xmlns:c15="http://schemas.microsoft.com/office/drawing/2012/chart" uri="{CE6537A1-D6FC-4f65-9D91-7224C49458BB}"/>
          </c:extLst>
        </c:dLbl>
      </c:pivotFmt>
      <c:pivotFmt>
        <c:idx val="106"/>
        <c:dLbl>
          <c:idx val="0"/>
          <c:showLegendKey val="0"/>
          <c:showVal val="0"/>
          <c:showCatName val="0"/>
          <c:showSerName val="0"/>
          <c:showPercent val="0"/>
          <c:showBubbleSize val="0"/>
          <c:extLst>
            <c:ext xmlns:c15="http://schemas.microsoft.com/office/drawing/2012/chart" uri="{CE6537A1-D6FC-4f65-9D91-7224C49458BB}"/>
          </c:extLst>
        </c:dLbl>
      </c:pivotFmt>
      <c:pivotFmt>
        <c:idx val="107"/>
        <c:dLbl>
          <c:idx val="0"/>
          <c:showLegendKey val="0"/>
          <c:showVal val="0"/>
          <c:showCatName val="0"/>
          <c:showSerName val="0"/>
          <c:showPercent val="0"/>
          <c:showBubbleSize val="0"/>
          <c:extLst>
            <c:ext xmlns:c15="http://schemas.microsoft.com/office/drawing/2012/chart" uri="{CE6537A1-D6FC-4f65-9D91-7224C49458BB}"/>
          </c:extLst>
        </c:dLbl>
      </c:pivotFmt>
      <c:pivotFmt>
        <c:idx val="108"/>
        <c:dLbl>
          <c:idx val="0"/>
          <c:showLegendKey val="0"/>
          <c:showVal val="0"/>
          <c:showCatName val="0"/>
          <c:showSerName val="0"/>
          <c:showPercent val="0"/>
          <c:showBubbleSize val="0"/>
          <c:extLst>
            <c:ext xmlns:c15="http://schemas.microsoft.com/office/drawing/2012/chart" uri="{CE6537A1-D6FC-4f65-9D91-7224C49458BB}"/>
          </c:extLst>
        </c:dLbl>
      </c:pivotFmt>
      <c:pivotFmt>
        <c:idx val="109"/>
        <c:dLbl>
          <c:idx val="0"/>
          <c:showLegendKey val="0"/>
          <c:showVal val="0"/>
          <c:showCatName val="0"/>
          <c:showSerName val="0"/>
          <c:showPercent val="0"/>
          <c:showBubbleSize val="0"/>
          <c:extLst>
            <c:ext xmlns:c15="http://schemas.microsoft.com/office/drawing/2012/chart" uri="{CE6537A1-D6FC-4f65-9D91-7224C49458BB}"/>
          </c:extLst>
        </c:dLbl>
      </c:pivotFmt>
      <c:pivotFmt>
        <c:idx val="110"/>
        <c:spPr>
          <a:solidFill>
            <a:srgbClr val="33CC33"/>
          </a:solidFill>
          <a:ln>
            <a:solidFill>
              <a:srgbClr val="33CC33"/>
            </a:solid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11"/>
        <c:spPr>
          <a:solidFill>
            <a:schemeClr val="tx1">
              <a:lumMod val="50000"/>
              <a:lumOff val="50000"/>
            </a:schemeClr>
          </a:solidFill>
          <a:ln>
            <a:solidFill>
              <a:srgbClr val="002060"/>
            </a:solidFill>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12"/>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13"/>
        <c:spPr>
          <a:solidFill>
            <a:schemeClr val="tx1">
              <a:lumMod val="50000"/>
              <a:lumOff val="50000"/>
            </a:schemeClr>
          </a:solidFill>
          <a:ln>
            <a:solidFill>
              <a:srgbClr val="00206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14"/>
        <c:spPr>
          <a:solidFill>
            <a:srgbClr val="33CC33"/>
          </a:solidFill>
          <a:ln>
            <a:solidFill>
              <a:srgbClr val="33CC33"/>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15"/>
        <c:spPr>
          <a:solidFill>
            <a:schemeClr val="tx1">
              <a:lumMod val="50000"/>
              <a:lumOff val="50000"/>
            </a:schemeClr>
          </a:solidFill>
          <a:ln>
            <a:solidFill>
              <a:srgbClr val="002060"/>
            </a:solid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1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3.8280905090009441E-2"/>
          <c:y val="0.14175867604765746"/>
          <c:w val="0.94193419170998471"/>
          <c:h val="0.64672261113550789"/>
        </c:manualLayout>
      </c:layout>
      <c:barChart>
        <c:barDir val="col"/>
        <c:grouping val="clustered"/>
        <c:varyColors val="0"/>
        <c:ser>
          <c:idx val="0"/>
          <c:order val="0"/>
          <c:tx>
            <c:strRef>
              <c:f>'Pivot 1 FTE'!$B$3:$B$4</c:f>
              <c:strCache>
                <c:ptCount val="1"/>
                <c:pt idx="0">
                  <c:v>ACT</c:v>
                </c:pt>
              </c:strCache>
            </c:strRef>
          </c:tx>
          <c:spPr>
            <a:solidFill>
              <a:srgbClr val="33CC33"/>
            </a:solidFill>
            <a:ln>
              <a:solidFill>
                <a:srgbClr val="33CC33"/>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'Pivot 1 FTE'!$A$5:$A$29</c:f>
              <c:multiLvlStrCache>
                <c:ptCount val="12"/>
                <c:lvl>
                  <c:pt idx="0">
                    <c:v> Jan-22</c:v>
                  </c:pt>
                  <c:pt idx="1">
                    <c:v> Feb-22</c:v>
                  </c:pt>
                  <c:pt idx="2">
                    <c:v> Mar-22</c:v>
                  </c:pt>
                  <c:pt idx="3">
                    <c:v> Apr-22</c:v>
                  </c:pt>
                  <c:pt idx="4">
                    <c:v> May-22</c:v>
                  </c:pt>
                  <c:pt idx="5">
                    <c:v> Jun-22</c:v>
                  </c:pt>
                  <c:pt idx="6">
                    <c:v> Jul-22</c:v>
                  </c:pt>
                  <c:pt idx="7">
                    <c:v> Aug-22</c:v>
                  </c:pt>
                  <c:pt idx="8">
                    <c:v> Sep-22</c:v>
                  </c:pt>
                  <c:pt idx="9">
                    <c:v> Oct-22</c:v>
                  </c:pt>
                  <c:pt idx="10">
                    <c:v> Nov-22</c:v>
                  </c:pt>
                  <c:pt idx="11">
                    <c:v> Dec-22</c:v>
                  </c:pt>
                </c:lvl>
                <c:lvl>
                  <c:pt idx="0">
                    <c:v>Shanghai</c:v>
                  </c:pt>
                </c:lvl>
              </c:multiLvlStrCache>
            </c:multiLvlStrRef>
          </c:cat>
          <c:val>
            <c:numRef>
              <c:f>'Pivot 1 FTE'!$B$5:$B$29</c:f>
              <c:numCache>
                <c:formatCode>General</c:formatCode>
                <c:ptCount val="12"/>
                <c:pt idx="0">
                  <c:v>230</c:v>
                </c:pt>
                <c:pt idx="1">
                  <c:v>235</c:v>
                </c:pt>
                <c:pt idx="2">
                  <c:v>247</c:v>
                </c:pt>
                <c:pt idx="3">
                  <c:v>257</c:v>
                </c:pt>
                <c:pt idx="4">
                  <c:v>263</c:v>
                </c:pt>
                <c:pt idx="5">
                  <c:v>263</c:v>
                </c:pt>
                <c:pt idx="6">
                  <c:v>263</c:v>
                </c:pt>
                <c:pt idx="7">
                  <c:v>0</c:v>
                </c:pt>
                <c:pt idx="8">
                  <c:v>0</c:v>
                </c:pt>
                <c:pt idx="9">
                  <c:v>0</c:v>
                </c:pt>
                <c:pt idx="10">
                  <c:v>0</c:v>
                </c:pt>
                <c:pt idx="11">
                  <c:v>0</c:v>
                </c:pt>
              </c:numCache>
            </c:numRef>
          </c:val>
          <c:extLst>
            <c:ext xmlns:c16="http://schemas.microsoft.com/office/drawing/2014/chart" uri="{C3380CC4-5D6E-409C-BE32-E72D297353CC}">
              <c16:uniqueId val="{00000000-82E1-4E89-BB28-462CF8F0BA2C}"/>
            </c:ext>
          </c:extLst>
        </c:ser>
        <c:ser>
          <c:idx val="1"/>
          <c:order val="1"/>
          <c:tx>
            <c:strRef>
              <c:f>'Pivot 1 FTE'!$C$3:$C$4</c:f>
              <c:strCache>
                <c:ptCount val="1"/>
                <c:pt idx="0">
                  <c:v>PLAN</c:v>
                </c:pt>
              </c:strCache>
            </c:strRef>
          </c:tx>
          <c:spPr>
            <a:solidFill>
              <a:schemeClr val="tx1">
                <a:lumMod val="50000"/>
                <a:lumOff val="50000"/>
              </a:schemeClr>
            </a:solidFill>
            <a:ln>
              <a:solidFill>
                <a:srgbClr val="002060"/>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'Pivot 1 FTE'!$A$5:$A$29</c:f>
              <c:multiLvlStrCache>
                <c:ptCount val="12"/>
                <c:lvl>
                  <c:pt idx="0">
                    <c:v> Jan-22</c:v>
                  </c:pt>
                  <c:pt idx="1">
                    <c:v> Feb-22</c:v>
                  </c:pt>
                  <c:pt idx="2">
                    <c:v> Mar-22</c:v>
                  </c:pt>
                  <c:pt idx="3">
                    <c:v> Apr-22</c:v>
                  </c:pt>
                  <c:pt idx="4">
                    <c:v> May-22</c:v>
                  </c:pt>
                  <c:pt idx="5">
                    <c:v> Jun-22</c:v>
                  </c:pt>
                  <c:pt idx="6">
                    <c:v> Jul-22</c:v>
                  </c:pt>
                  <c:pt idx="7">
                    <c:v> Aug-22</c:v>
                  </c:pt>
                  <c:pt idx="8">
                    <c:v> Sep-22</c:v>
                  </c:pt>
                  <c:pt idx="9">
                    <c:v> Oct-22</c:v>
                  </c:pt>
                  <c:pt idx="10">
                    <c:v> Nov-22</c:v>
                  </c:pt>
                  <c:pt idx="11">
                    <c:v> Dec-22</c:v>
                  </c:pt>
                </c:lvl>
                <c:lvl>
                  <c:pt idx="0">
                    <c:v>Shanghai</c:v>
                  </c:pt>
                </c:lvl>
              </c:multiLvlStrCache>
            </c:multiLvlStrRef>
          </c:cat>
          <c:val>
            <c:numRef>
              <c:f>'Pivot 1 FTE'!$C$5:$C$29</c:f>
              <c:numCache>
                <c:formatCode>General</c:formatCode>
                <c:ptCount val="12"/>
                <c:pt idx="0">
                  <c:v>230</c:v>
                </c:pt>
                <c:pt idx="1">
                  <c:v>231.3</c:v>
                </c:pt>
                <c:pt idx="2">
                  <c:v>238.61800000000002</c:v>
                </c:pt>
                <c:pt idx="3">
                  <c:v>240.45418000000001</c:v>
                </c:pt>
                <c:pt idx="4">
                  <c:v>242.30872180000003</c:v>
                </c:pt>
                <c:pt idx="5">
                  <c:v>245.18180901800002</c:v>
                </c:pt>
                <c:pt idx="6">
                  <c:v>248.07362710818003</c:v>
                </c:pt>
                <c:pt idx="7">
                  <c:v>250.98436337926185</c:v>
                </c:pt>
                <c:pt idx="8">
                  <c:v>253.91420701305447</c:v>
                </c:pt>
                <c:pt idx="9">
                  <c:v>255.86334908318503</c:v>
                </c:pt>
                <c:pt idx="10">
                  <c:v>257.83198257401682</c:v>
                </c:pt>
                <c:pt idx="11">
                  <c:v>259.820302399757</c:v>
                </c:pt>
              </c:numCache>
            </c:numRef>
          </c:val>
          <c:extLst>
            <c:ext xmlns:c16="http://schemas.microsoft.com/office/drawing/2014/chart" uri="{C3380CC4-5D6E-409C-BE32-E72D297353CC}">
              <c16:uniqueId val="{00000007-82E1-4E89-BB28-462CF8F0BA2C}"/>
            </c:ext>
          </c:extLst>
        </c:ser>
        <c:dLbls>
          <c:showLegendKey val="0"/>
          <c:showVal val="0"/>
          <c:showCatName val="0"/>
          <c:showSerName val="0"/>
          <c:showPercent val="0"/>
          <c:showBubbleSize val="0"/>
        </c:dLbls>
        <c:gapWidth val="219"/>
        <c:overlap val="-27"/>
        <c:axId val="2114457007"/>
        <c:axId val="2114458255"/>
      </c:barChart>
      <c:catAx>
        <c:axId val="21144570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Month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2114458255"/>
        <c:crosses val="autoZero"/>
        <c:auto val="1"/>
        <c:lblAlgn val="ctr"/>
        <c:lblOffset val="100"/>
        <c:noMultiLvlLbl val="0"/>
      </c:catAx>
      <c:valAx>
        <c:axId val="21144582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21144570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Controlling Dashboard FTE Umsatz.xlsx]Pivot 2 Umsatz !PivotTable14</c:name>
    <c:fmtId val="3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Umsatz PLAN versus ACT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ivotFmts>
      <c:pivotFmt>
        <c:idx val="0"/>
        <c:spPr>
          <a:solidFill>
            <a:srgbClr val="00206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00206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00206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00206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2 Umsatz '!$B$3:$B$4</c:f>
              <c:strCache>
                <c:ptCount val="1"/>
                <c:pt idx="0">
                  <c:v>ACT</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'Pivot 2 Umsatz '!$A$5:$A$29</c:f>
              <c:multiLvlStrCache>
                <c:ptCount val="12"/>
                <c:lvl>
                  <c:pt idx="0">
                    <c:v> Jan-22</c:v>
                  </c:pt>
                  <c:pt idx="1">
                    <c:v> Feb-22</c:v>
                  </c:pt>
                  <c:pt idx="2">
                    <c:v> Mar-22</c:v>
                  </c:pt>
                  <c:pt idx="3">
                    <c:v> Apr-22</c:v>
                  </c:pt>
                  <c:pt idx="4">
                    <c:v> May-22</c:v>
                  </c:pt>
                  <c:pt idx="5">
                    <c:v> Jun-22</c:v>
                  </c:pt>
                  <c:pt idx="6">
                    <c:v> Jul-22</c:v>
                  </c:pt>
                  <c:pt idx="7">
                    <c:v> Aug-22</c:v>
                  </c:pt>
                  <c:pt idx="8">
                    <c:v> Sep-22</c:v>
                  </c:pt>
                  <c:pt idx="9">
                    <c:v> Oct-22</c:v>
                  </c:pt>
                  <c:pt idx="10">
                    <c:v> Nov-22</c:v>
                  </c:pt>
                  <c:pt idx="11">
                    <c:v> Dec-22</c:v>
                  </c:pt>
                </c:lvl>
                <c:lvl>
                  <c:pt idx="0">
                    <c:v>Shanghai</c:v>
                  </c:pt>
                </c:lvl>
              </c:multiLvlStrCache>
            </c:multiLvlStrRef>
          </c:cat>
          <c:val>
            <c:numRef>
              <c:f>'Pivot 2 Umsatz '!$B$5:$B$29</c:f>
              <c:numCache>
                <c:formatCode>#,##0</c:formatCode>
                <c:ptCount val="12"/>
                <c:pt idx="0">
                  <c:v>100</c:v>
                </c:pt>
                <c:pt idx="1">
                  <c:v>100</c:v>
                </c:pt>
                <c:pt idx="2">
                  <c:v>100</c:v>
                </c:pt>
                <c:pt idx="3">
                  <c:v>110</c:v>
                </c:pt>
                <c:pt idx="4">
                  <c:v>115</c:v>
                </c:pt>
                <c:pt idx="5">
                  <c:v>90</c:v>
                </c:pt>
                <c:pt idx="6">
                  <c:v>90</c:v>
                </c:pt>
                <c:pt idx="7">
                  <c:v>0</c:v>
                </c:pt>
                <c:pt idx="8">
                  <c:v>0</c:v>
                </c:pt>
                <c:pt idx="9">
                  <c:v>0</c:v>
                </c:pt>
                <c:pt idx="10">
                  <c:v>0</c:v>
                </c:pt>
                <c:pt idx="11">
                  <c:v>0</c:v>
                </c:pt>
              </c:numCache>
            </c:numRef>
          </c:val>
          <c:extLst>
            <c:ext xmlns:c16="http://schemas.microsoft.com/office/drawing/2014/chart" uri="{C3380CC4-5D6E-409C-BE32-E72D297353CC}">
              <c16:uniqueId val="{00000000-256B-48F5-B883-F4DD883CD3FB}"/>
            </c:ext>
          </c:extLst>
        </c:ser>
        <c:ser>
          <c:idx val="1"/>
          <c:order val="1"/>
          <c:tx>
            <c:strRef>
              <c:f>'Pivot 2 Umsatz '!$C$3:$C$4</c:f>
              <c:strCache>
                <c:ptCount val="1"/>
                <c:pt idx="0">
                  <c:v>PLAN</c:v>
                </c:pt>
              </c:strCache>
            </c:strRef>
          </c:tx>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'Pivot 2 Umsatz '!$A$5:$A$29</c:f>
              <c:multiLvlStrCache>
                <c:ptCount val="12"/>
                <c:lvl>
                  <c:pt idx="0">
                    <c:v> Jan-22</c:v>
                  </c:pt>
                  <c:pt idx="1">
                    <c:v> Feb-22</c:v>
                  </c:pt>
                  <c:pt idx="2">
                    <c:v> Mar-22</c:v>
                  </c:pt>
                  <c:pt idx="3">
                    <c:v> Apr-22</c:v>
                  </c:pt>
                  <c:pt idx="4">
                    <c:v> May-22</c:v>
                  </c:pt>
                  <c:pt idx="5">
                    <c:v> Jun-22</c:v>
                  </c:pt>
                  <c:pt idx="6">
                    <c:v> Jul-22</c:v>
                  </c:pt>
                  <c:pt idx="7">
                    <c:v> Aug-22</c:v>
                  </c:pt>
                  <c:pt idx="8">
                    <c:v> Sep-22</c:v>
                  </c:pt>
                  <c:pt idx="9">
                    <c:v> Oct-22</c:v>
                  </c:pt>
                  <c:pt idx="10">
                    <c:v> Nov-22</c:v>
                  </c:pt>
                  <c:pt idx="11">
                    <c:v> Dec-22</c:v>
                  </c:pt>
                </c:lvl>
                <c:lvl>
                  <c:pt idx="0">
                    <c:v>Shanghai</c:v>
                  </c:pt>
                </c:lvl>
              </c:multiLvlStrCache>
            </c:multiLvlStrRef>
          </c:cat>
          <c:val>
            <c:numRef>
              <c:f>'Pivot 2 Umsatz '!$C$5:$C$29</c:f>
              <c:numCache>
                <c:formatCode>#,##0</c:formatCode>
                <c:ptCount val="12"/>
                <c:pt idx="0">
                  <c:v>100</c:v>
                </c:pt>
                <c:pt idx="1">
                  <c:v>100.49999999999999</c:v>
                </c:pt>
                <c:pt idx="2">
                  <c:v>101.00249999999997</c:v>
                </c:pt>
                <c:pt idx="3">
                  <c:v>101.50751249999996</c:v>
                </c:pt>
                <c:pt idx="4">
                  <c:v>102.01505006249995</c:v>
                </c:pt>
                <c:pt idx="5">
                  <c:v>102.52512531281243</c:v>
                </c:pt>
                <c:pt idx="6">
                  <c:v>103.03775093937648</c:v>
                </c:pt>
                <c:pt idx="7">
                  <c:v>103.55293969407334</c:v>
                </c:pt>
                <c:pt idx="8">
                  <c:v>104.0707043925437</c:v>
                </c:pt>
                <c:pt idx="9">
                  <c:v>104.59105791450641</c:v>
                </c:pt>
                <c:pt idx="10">
                  <c:v>105.11401320407893</c:v>
                </c:pt>
                <c:pt idx="11">
                  <c:v>105.63958327009931</c:v>
                </c:pt>
              </c:numCache>
            </c:numRef>
          </c:val>
          <c:extLst>
            <c:ext xmlns:c16="http://schemas.microsoft.com/office/drawing/2014/chart" uri="{C3380CC4-5D6E-409C-BE32-E72D297353CC}">
              <c16:uniqueId val="{00000003-256B-48F5-B883-F4DD883CD3FB}"/>
            </c:ext>
          </c:extLst>
        </c:ser>
        <c:dLbls>
          <c:showLegendKey val="0"/>
          <c:showVal val="0"/>
          <c:showCatName val="0"/>
          <c:showSerName val="0"/>
          <c:showPercent val="0"/>
          <c:showBubbleSize val="0"/>
        </c:dLbls>
        <c:gapWidth val="219"/>
        <c:overlap val="-27"/>
        <c:axId val="358911120"/>
        <c:axId val="358908624"/>
      </c:barChart>
      <c:catAx>
        <c:axId val="35891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358908624"/>
        <c:crosses val="autoZero"/>
        <c:auto val="1"/>
        <c:lblAlgn val="ctr"/>
        <c:lblOffset val="100"/>
        <c:noMultiLvlLbl val="0"/>
      </c:catAx>
      <c:valAx>
        <c:axId val="358908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3589111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Controlling Dashboard FTE Umsatz.xlsx]Pivot 1 FTE!PivotTable4</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FTE ACT versus PLAN</a:t>
            </a:r>
          </a:p>
        </c:rich>
      </c:tx>
      <c:overlay val="0"/>
      <c:spPr>
        <a:noFill/>
        <a:ln>
          <a:noFill/>
        </a:ln>
        <a:effectLst/>
      </c:spPr>
    </c:title>
    <c:autoTitleDeleted val="0"/>
    <c:pivotFmts>
      <c:pivotFmt>
        <c:idx val="0"/>
        <c:dLbl>
          <c:idx val="0"/>
          <c:delete val="1"/>
          <c:extLst>
            <c:ext xmlns:c15="http://schemas.microsoft.com/office/drawing/2012/chart" uri="{CE6537A1-D6FC-4f65-9D91-7224C49458BB}"/>
          </c:extLst>
        </c:dLbl>
      </c:pivotFmt>
      <c:pivotFmt>
        <c:idx val="1"/>
        <c:dLbl>
          <c:idx val="0"/>
          <c:delete val="1"/>
          <c:extLst>
            <c:ext xmlns:c15="http://schemas.microsoft.com/office/drawing/2012/chart" uri="{CE6537A1-D6FC-4f65-9D91-7224C49458BB}"/>
          </c:extLst>
        </c:dLbl>
      </c:pivotFmt>
      <c:pivotFmt>
        <c:idx val="2"/>
        <c:dLbl>
          <c:idx val="0"/>
          <c:delete val="1"/>
          <c:extLst>
            <c:ext xmlns:c15="http://schemas.microsoft.com/office/drawing/2012/chart" uri="{CE6537A1-D6FC-4f65-9D91-7224C49458BB}"/>
          </c:extLst>
        </c:dLbl>
      </c:pivotFmt>
      <c:pivotFmt>
        <c:idx val="3"/>
        <c:dLbl>
          <c:idx val="0"/>
          <c:delete val="1"/>
          <c:extLst>
            <c:ext xmlns:c15="http://schemas.microsoft.com/office/drawing/2012/chart" uri="{CE6537A1-D6FC-4f65-9D91-7224C49458BB}"/>
          </c:extLst>
        </c:dLbl>
      </c:pivotFmt>
      <c:pivotFmt>
        <c:idx val="4"/>
        <c:dLbl>
          <c:idx val="0"/>
          <c:delete val="1"/>
          <c:extLst>
            <c:ext xmlns:c15="http://schemas.microsoft.com/office/drawing/2012/chart" uri="{CE6537A1-D6FC-4f65-9D91-7224C49458BB}"/>
          </c:extLst>
        </c:dLbl>
      </c:pivotFmt>
      <c:pivotFmt>
        <c:idx val="5"/>
        <c:dLbl>
          <c:idx val="0"/>
          <c:delete val="1"/>
          <c:extLst>
            <c:ext xmlns:c15="http://schemas.microsoft.com/office/drawing/2012/chart" uri="{CE6537A1-D6FC-4f65-9D91-7224C49458BB}"/>
          </c:extLst>
        </c:dLbl>
      </c:pivotFmt>
      <c:pivotFmt>
        <c:idx val="6"/>
        <c:dLbl>
          <c:idx val="0"/>
          <c:delete val="1"/>
          <c:extLst>
            <c:ext xmlns:c15="http://schemas.microsoft.com/office/drawing/2012/chart" uri="{CE6537A1-D6FC-4f65-9D91-7224C49458BB}"/>
          </c:extLst>
        </c:dLbl>
      </c:pivotFmt>
      <c:pivotFmt>
        <c:idx val="7"/>
        <c:dLbl>
          <c:idx val="0"/>
          <c:delete val="1"/>
          <c:extLst>
            <c:ext xmlns:c15="http://schemas.microsoft.com/office/drawing/2012/chart" uri="{CE6537A1-D6FC-4f65-9D91-7224C49458BB}"/>
          </c:extLst>
        </c:dLbl>
      </c:pivotFmt>
      <c:pivotFmt>
        <c:idx val="8"/>
        <c:dLbl>
          <c:idx val="0"/>
          <c:delete val="1"/>
          <c:extLst>
            <c:ext xmlns:c15="http://schemas.microsoft.com/office/drawing/2012/chart" uri="{CE6537A1-D6FC-4f65-9D91-7224C49458BB}"/>
          </c:extLst>
        </c:dLbl>
      </c:pivotFmt>
      <c:pivotFmt>
        <c:idx val="9"/>
        <c:dLbl>
          <c:idx val="0"/>
          <c:delete val="1"/>
          <c:extLst>
            <c:ext xmlns:c15="http://schemas.microsoft.com/office/drawing/2012/chart" uri="{CE6537A1-D6FC-4f65-9D91-7224C49458BB}"/>
          </c:extLst>
        </c:dLbl>
      </c:pivotFmt>
      <c:pivotFmt>
        <c:idx val="10"/>
        <c:dLbl>
          <c:idx val="0"/>
          <c:delete val="1"/>
          <c:extLst>
            <c:ext xmlns:c15="http://schemas.microsoft.com/office/drawing/2012/chart" uri="{CE6537A1-D6FC-4f65-9D91-7224C49458BB}"/>
          </c:extLst>
        </c:dLbl>
      </c:pivotFmt>
      <c:pivotFmt>
        <c:idx val="11"/>
        <c:dLbl>
          <c:idx val="0"/>
          <c:delete val="1"/>
          <c:extLst>
            <c:ext xmlns:c15="http://schemas.microsoft.com/office/drawing/2012/chart" uri="{CE6537A1-D6FC-4f65-9D91-7224C49458BB}"/>
          </c:extLst>
        </c:dLbl>
      </c:pivotFmt>
      <c:pivotFmt>
        <c:idx val="12"/>
        <c:dLbl>
          <c:idx val="0"/>
          <c:delete val="1"/>
          <c:extLst>
            <c:ext xmlns:c15="http://schemas.microsoft.com/office/drawing/2012/chart" uri="{CE6537A1-D6FC-4f65-9D91-7224C49458BB}"/>
          </c:extLst>
        </c:dLbl>
      </c:pivotFmt>
      <c:pivotFmt>
        <c:idx val="13"/>
        <c:dLbl>
          <c:idx val="0"/>
          <c:delete val="1"/>
          <c:extLst>
            <c:ext xmlns:c15="http://schemas.microsoft.com/office/drawing/2012/chart" uri="{CE6537A1-D6FC-4f65-9D91-7224C49458BB}"/>
          </c:extLst>
        </c:dLbl>
      </c:pivotFmt>
      <c:pivotFmt>
        <c:idx val="14"/>
        <c:dLbl>
          <c:idx val="0"/>
          <c:delete val="1"/>
          <c:extLst>
            <c:ext xmlns:c15="http://schemas.microsoft.com/office/drawing/2012/chart" uri="{CE6537A1-D6FC-4f65-9D91-7224C49458BB}"/>
          </c:extLst>
        </c:dLbl>
      </c:pivotFmt>
      <c:pivotFmt>
        <c:idx val="15"/>
        <c:dLbl>
          <c:idx val="0"/>
          <c:delete val="1"/>
          <c:extLst>
            <c:ext xmlns:c15="http://schemas.microsoft.com/office/drawing/2012/chart" uri="{CE6537A1-D6FC-4f65-9D91-7224C49458BB}"/>
          </c:extLst>
        </c:dLbl>
      </c:pivotFmt>
      <c:pivotFmt>
        <c:idx val="16"/>
        <c:dLbl>
          <c:idx val="0"/>
          <c:delete val="1"/>
          <c:extLst>
            <c:ext xmlns:c15="http://schemas.microsoft.com/office/drawing/2012/chart" uri="{CE6537A1-D6FC-4f65-9D91-7224C49458BB}"/>
          </c:extLst>
        </c:dLbl>
      </c:pivotFmt>
      <c:pivotFmt>
        <c:idx val="17"/>
        <c:dLbl>
          <c:idx val="0"/>
          <c:delete val="1"/>
          <c:extLst>
            <c:ext xmlns:c15="http://schemas.microsoft.com/office/drawing/2012/chart" uri="{CE6537A1-D6FC-4f65-9D91-7224C49458BB}"/>
          </c:extLst>
        </c:dLbl>
      </c:pivotFmt>
      <c:pivotFmt>
        <c:idx val="18"/>
        <c:dLbl>
          <c:idx val="0"/>
          <c:delete val="1"/>
          <c:extLst>
            <c:ext xmlns:c15="http://schemas.microsoft.com/office/drawing/2012/chart" uri="{CE6537A1-D6FC-4f65-9D91-7224C49458BB}"/>
          </c:extLst>
        </c:dLbl>
      </c:pivotFmt>
      <c:pivotFmt>
        <c:idx val="19"/>
        <c:dLbl>
          <c:idx val="0"/>
          <c:delete val="1"/>
          <c:extLst>
            <c:ext xmlns:c15="http://schemas.microsoft.com/office/drawing/2012/chart" uri="{CE6537A1-D6FC-4f65-9D91-7224C49458BB}"/>
          </c:extLst>
        </c:dLbl>
      </c:pivotFmt>
      <c:pivotFmt>
        <c:idx val="20"/>
        <c:dLbl>
          <c:idx val="0"/>
          <c:delete val="1"/>
          <c:extLst>
            <c:ext xmlns:c15="http://schemas.microsoft.com/office/drawing/2012/chart" uri="{CE6537A1-D6FC-4f65-9D91-7224C49458BB}"/>
          </c:extLst>
        </c:dLbl>
      </c:pivotFmt>
      <c:pivotFmt>
        <c:idx val="21"/>
        <c:dLbl>
          <c:idx val="0"/>
          <c:delete val="1"/>
          <c:extLst>
            <c:ext xmlns:c15="http://schemas.microsoft.com/office/drawing/2012/chart" uri="{CE6537A1-D6FC-4f65-9D91-7224C49458BB}"/>
          </c:extLst>
        </c:dLbl>
      </c:pivotFmt>
      <c:pivotFmt>
        <c:idx val="22"/>
        <c:dLbl>
          <c:idx val="0"/>
          <c:delete val="1"/>
          <c:extLst>
            <c:ext xmlns:c15="http://schemas.microsoft.com/office/drawing/2012/chart" uri="{CE6537A1-D6FC-4f65-9D91-7224C49458BB}"/>
          </c:extLst>
        </c:dLbl>
      </c:pivotFmt>
      <c:pivotFmt>
        <c:idx val="23"/>
        <c:dLbl>
          <c:idx val="0"/>
          <c:delete val="1"/>
          <c:extLst>
            <c:ext xmlns:c15="http://schemas.microsoft.com/office/drawing/2012/chart" uri="{CE6537A1-D6FC-4f65-9D91-7224C49458BB}"/>
          </c:extLst>
        </c:dLbl>
      </c:pivotFmt>
      <c:pivotFmt>
        <c:idx val="24"/>
        <c:dLbl>
          <c:idx val="0"/>
          <c:delete val="1"/>
          <c:extLst>
            <c:ext xmlns:c15="http://schemas.microsoft.com/office/drawing/2012/chart" uri="{CE6537A1-D6FC-4f65-9D91-7224C49458BB}"/>
          </c:extLst>
        </c:dLbl>
      </c:pivotFmt>
      <c:pivotFmt>
        <c:idx val="25"/>
        <c:dLbl>
          <c:idx val="0"/>
          <c:delete val="1"/>
          <c:extLst>
            <c:ext xmlns:c15="http://schemas.microsoft.com/office/drawing/2012/chart" uri="{CE6537A1-D6FC-4f65-9D91-7224C49458BB}"/>
          </c:extLst>
        </c:dLbl>
      </c:pivotFmt>
      <c:pivotFmt>
        <c:idx val="26"/>
        <c:dLbl>
          <c:idx val="0"/>
          <c:delete val="1"/>
          <c:extLst>
            <c:ext xmlns:c15="http://schemas.microsoft.com/office/drawing/2012/chart" uri="{CE6537A1-D6FC-4f65-9D91-7224C49458BB}"/>
          </c:extLst>
        </c:dLbl>
      </c:pivotFmt>
      <c:pivotFmt>
        <c:idx val="27"/>
        <c:dLbl>
          <c:idx val="0"/>
          <c:delete val="1"/>
          <c:extLst>
            <c:ext xmlns:c15="http://schemas.microsoft.com/office/drawing/2012/chart" uri="{CE6537A1-D6FC-4f65-9D91-7224C49458BB}"/>
          </c:extLst>
        </c:dLbl>
      </c:pivotFmt>
      <c:pivotFmt>
        <c:idx val="28"/>
        <c:dLbl>
          <c:idx val="0"/>
          <c:delete val="1"/>
          <c:extLst>
            <c:ext xmlns:c15="http://schemas.microsoft.com/office/drawing/2012/chart" uri="{CE6537A1-D6FC-4f65-9D91-7224C49458BB}"/>
          </c:extLst>
        </c:dLbl>
      </c:pivotFmt>
      <c:pivotFmt>
        <c:idx val="29"/>
        <c:dLbl>
          <c:idx val="0"/>
          <c:delete val="1"/>
          <c:extLst>
            <c:ext xmlns:c15="http://schemas.microsoft.com/office/drawing/2012/chart" uri="{CE6537A1-D6FC-4f65-9D91-7224C49458BB}"/>
          </c:extLst>
        </c:dLbl>
      </c:pivotFmt>
      <c:pivotFmt>
        <c:idx val="30"/>
        <c:dLbl>
          <c:idx val="0"/>
          <c:delete val="1"/>
          <c:extLst>
            <c:ext xmlns:c15="http://schemas.microsoft.com/office/drawing/2012/chart" uri="{CE6537A1-D6FC-4f65-9D91-7224C49458BB}"/>
          </c:extLst>
        </c:dLbl>
      </c:pivotFmt>
      <c:pivotFmt>
        <c:idx val="31"/>
        <c:dLbl>
          <c:idx val="0"/>
          <c:delete val="1"/>
          <c:extLst>
            <c:ext xmlns:c15="http://schemas.microsoft.com/office/drawing/2012/chart" uri="{CE6537A1-D6FC-4f65-9D91-7224C49458BB}"/>
          </c:extLst>
        </c:dLbl>
      </c:pivotFmt>
      <c:pivotFmt>
        <c:idx val="32"/>
        <c:dLbl>
          <c:idx val="0"/>
          <c:delete val="1"/>
          <c:extLst>
            <c:ext xmlns:c15="http://schemas.microsoft.com/office/drawing/2012/chart" uri="{CE6537A1-D6FC-4f65-9D91-7224C49458BB}"/>
          </c:extLst>
        </c:dLbl>
      </c:pivotFmt>
      <c:pivotFmt>
        <c:idx val="33"/>
        <c:dLbl>
          <c:idx val="0"/>
          <c:delete val="1"/>
          <c:extLst>
            <c:ext xmlns:c15="http://schemas.microsoft.com/office/drawing/2012/chart" uri="{CE6537A1-D6FC-4f65-9D91-7224C49458BB}"/>
          </c:extLst>
        </c:dLbl>
      </c:pivotFmt>
      <c:pivotFmt>
        <c:idx val="34"/>
        <c:dLbl>
          <c:idx val="0"/>
          <c:delete val="1"/>
          <c:extLst>
            <c:ext xmlns:c15="http://schemas.microsoft.com/office/drawing/2012/chart" uri="{CE6537A1-D6FC-4f65-9D91-7224C49458BB}"/>
          </c:extLst>
        </c:dLbl>
      </c:pivotFmt>
      <c:pivotFmt>
        <c:idx val="35"/>
        <c:dLbl>
          <c:idx val="0"/>
          <c:delete val="1"/>
          <c:extLst>
            <c:ext xmlns:c15="http://schemas.microsoft.com/office/drawing/2012/chart" uri="{CE6537A1-D6FC-4f65-9D91-7224C49458BB}"/>
          </c:extLst>
        </c:dLbl>
      </c:pivotFmt>
      <c:pivotFmt>
        <c:idx val="36"/>
        <c:dLbl>
          <c:idx val="0"/>
          <c:delete val="1"/>
          <c:extLst>
            <c:ext xmlns:c15="http://schemas.microsoft.com/office/drawing/2012/chart" uri="{CE6537A1-D6FC-4f65-9D91-7224C49458BB}"/>
          </c:extLst>
        </c:dLbl>
      </c:pivotFmt>
      <c:pivotFmt>
        <c:idx val="37"/>
        <c:dLbl>
          <c:idx val="0"/>
          <c:delete val="1"/>
          <c:extLst>
            <c:ext xmlns:c15="http://schemas.microsoft.com/office/drawing/2012/chart" uri="{CE6537A1-D6FC-4f65-9D91-7224C49458BB}"/>
          </c:extLst>
        </c:dLbl>
      </c:pivotFmt>
      <c:pivotFmt>
        <c:idx val="38"/>
        <c:dLbl>
          <c:idx val="0"/>
          <c:delete val="1"/>
          <c:extLst>
            <c:ext xmlns:c15="http://schemas.microsoft.com/office/drawing/2012/chart" uri="{CE6537A1-D6FC-4f65-9D91-7224C49458BB}"/>
          </c:extLst>
        </c:dLbl>
      </c:pivotFmt>
      <c:pivotFmt>
        <c:idx val="39"/>
        <c:dLbl>
          <c:idx val="0"/>
          <c:delete val="1"/>
          <c:extLst>
            <c:ext xmlns:c15="http://schemas.microsoft.com/office/drawing/2012/chart" uri="{CE6537A1-D6FC-4f65-9D91-7224C49458BB}"/>
          </c:extLst>
        </c:dLbl>
      </c:pivotFmt>
      <c:pivotFmt>
        <c:idx val="40"/>
        <c:dLbl>
          <c:idx val="0"/>
          <c:delete val="1"/>
          <c:extLst>
            <c:ext xmlns:c15="http://schemas.microsoft.com/office/drawing/2012/chart" uri="{CE6537A1-D6FC-4f65-9D91-7224C49458BB}"/>
          </c:extLst>
        </c:dLbl>
      </c:pivotFmt>
      <c:pivotFmt>
        <c:idx val="41"/>
        <c:dLbl>
          <c:idx val="0"/>
          <c:delete val="1"/>
          <c:extLst>
            <c:ext xmlns:c15="http://schemas.microsoft.com/office/drawing/2012/chart" uri="{CE6537A1-D6FC-4f65-9D91-7224C49458BB}"/>
          </c:extLst>
        </c:dLbl>
      </c:pivotFmt>
      <c:pivotFmt>
        <c:idx val="42"/>
        <c:dLbl>
          <c:idx val="0"/>
          <c:delete val="1"/>
          <c:extLst>
            <c:ext xmlns:c15="http://schemas.microsoft.com/office/drawing/2012/chart" uri="{CE6537A1-D6FC-4f65-9D91-7224C49458BB}"/>
          </c:extLst>
        </c:dLbl>
      </c:pivotFmt>
      <c:pivotFmt>
        <c:idx val="43"/>
        <c:dLbl>
          <c:idx val="0"/>
          <c:delete val="1"/>
          <c:extLst>
            <c:ext xmlns:c15="http://schemas.microsoft.com/office/drawing/2012/chart" uri="{CE6537A1-D6FC-4f65-9D91-7224C49458BB}"/>
          </c:extLst>
        </c:dLbl>
      </c:pivotFmt>
      <c:pivotFmt>
        <c:idx val="44"/>
        <c:dLbl>
          <c:idx val="0"/>
          <c:delete val="1"/>
          <c:extLst>
            <c:ext xmlns:c15="http://schemas.microsoft.com/office/drawing/2012/chart" uri="{CE6537A1-D6FC-4f65-9D91-7224C49458BB}"/>
          </c:extLst>
        </c:dLbl>
      </c:pivotFmt>
      <c:pivotFmt>
        <c:idx val="45"/>
        <c:dLbl>
          <c:idx val="0"/>
          <c:delete val="1"/>
          <c:extLst>
            <c:ext xmlns:c15="http://schemas.microsoft.com/office/drawing/2012/chart" uri="{CE6537A1-D6FC-4f65-9D91-7224C49458BB}"/>
          </c:extLst>
        </c:dLbl>
      </c:pivotFmt>
      <c:pivotFmt>
        <c:idx val="46"/>
        <c:dLbl>
          <c:idx val="0"/>
          <c:delete val="1"/>
          <c:extLst>
            <c:ext xmlns:c15="http://schemas.microsoft.com/office/drawing/2012/chart" uri="{CE6537A1-D6FC-4f65-9D91-7224C49458BB}"/>
          </c:extLst>
        </c:dLbl>
      </c:pivotFmt>
      <c:pivotFmt>
        <c:idx val="47"/>
        <c:dLbl>
          <c:idx val="0"/>
          <c:delete val="1"/>
          <c:extLst>
            <c:ext xmlns:c15="http://schemas.microsoft.com/office/drawing/2012/chart" uri="{CE6537A1-D6FC-4f65-9D91-7224C49458BB}"/>
          </c:extLst>
        </c:dLbl>
      </c:pivotFmt>
      <c:pivotFmt>
        <c:idx val="48"/>
        <c:dLbl>
          <c:idx val="0"/>
          <c:delete val="1"/>
          <c:extLst>
            <c:ext xmlns:c15="http://schemas.microsoft.com/office/drawing/2012/chart" uri="{CE6537A1-D6FC-4f65-9D91-7224C49458BB}"/>
          </c:extLst>
        </c:dLbl>
      </c:pivotFmt>
      <c:pivotFmt>
        <c:idx val="49"/>
        <c:dLbl>
          <c:idx val="0"/>
          <c:delete val="1"/>
          <c:extLst>
            <c:ext xmlns:c15="http://schemas.microsoft.com/office/drawing/2012/chart" uri="{CE6537A1-D6FC-4f65-9D91-7224C49458BB}"/>
          </c:extLst>
        </c:dLbl>
      </c:pivotFmt>
      <c:pivotFmt>
        <c:idx val="50"/>
        <c:dLbl>
          <c:idx val="0"/>
          <c:delete val="1"/>
          <c:extLst>
            <c:ext xmlns:c15="http://schemas.microsoft.com/office/drawing/2012/chart" uri="{CE6537A1-D6FC-4f65-9D91-7224C49458BB}"/>
          </c:extLst>
        </c:dLbl>
      </c:pivotFmt>
      <c:pivotFmt>
        <c:idx val="51"/>
        <c:dLbl>
          <c:idx val="0"/>
          <c:delete val="1"/>
          <c:extLst>
            <c:ext xmlns:c15="http://schemas.microsoft.com/office/drawing/2012/chart" uri="{CE6537A1-D6FC-4f65-9D91-7224C49458BB}"/>
          </c:extLst>
        </c:dLbl>
      </c:pivotFmt>
      <c:pivotFmt>
        <c:idx val="52"/>
        <c:dLbl>
          <c:idx val="0"/>
          <c:delete val="1"/>
          <c:extLst>
            <c:ext xmlns:c15="http://schemas.microsoft.com/office/drawing/2012/chart" uri="{CE6537A1-D6FC-4f65-9D91-7224C49458BB}"/>
          </c:extLst>
        </c:dLbl>
      </c:pivotFmt>
      <c:pivotFmt>
        <c:idx val="53"/>
        <c:dLbl>
          <c:idx val="0"/>
          <c:delete val="1"/>
          <c:extLst>
            <c:ext xmlns:c15="http://schemas.microsoft.com/office/drawing/2012/chart" uri="{CE6537A1-D6FC-4f65-9D91-7224C49458BB}"/>
          </c:extLst>
        </c:dLbl>
      </c:pivotFmt>
      <c:pivotFmt>
        <c:idx val="54"/>
        <c:dLbl>
          <c:idx val="0"/>
          <c:delete val="1"/>
          <c:extLst>
            <c:ext xmlns:c15="http://schemas.microsoft.com/office/drawing/2012/chart" uri="{CE6537A1-D6FC-4f65-9D91-7224C49458BB}"/>
          </c:extLst>
        </c:dLbl>
      </c:pivotFmt>
      <c:pivotFmt>
        <c:idx val="55"/>
        <c:dLbl>
          <c:idx val="0"/>
          <c:delete val="1"/>
          <c:extLst>
            <c:ext xmlns:c15="http://schemas.microsoft.com/office/drawing/2012/chart" uri="{CE6537A1-D6FC-4f65-9D91-7224C49458BB}"/>
          </c:extLst>
        </c:dLbl>
      </c:pivotFmt>
      <c:pivotFmt>
        <c:idx val="56"/>
        <c:dLbl>
          <c:idx val="0"/>
          <c:delete val="1"/>
          <c:extLst>
            <c:ext xmlns:c15="http://schemas.microsoft.com/office/drawing/2012/chart" uri="{CE6537A1-D6FC-4f65-9D91-7224C49458BB}"/>
          </c:extLst>
        </c:dLbl>
      </c:pivotFmt>
      <c:pivotFmt>
        <c:idx val="57"/>
        <c:dLbl>
          <c:idx val="0"/>
          <c:delete val="1"/>
          <c:extLst>
            <c:ext xmlns:c15="http://schemas.microsoft.com/office/drawing/2012/chart" uri="{CE6537A1-D6FC-4f65-9D91-7224C49458BB}"/>
          </c:extLst>
        </c:dLbl>
      </c:pivotFmt>
      <c:pivotFmt>
        <c:idx val="58"/>
        <c:dLbl>
          <c:idx val="0"/>
          <c:delete val="1"/>
          <c:extLst>
            <c:ext xmlns:c15="http://schemas.microsoft.com/office/drawing/2012/chart" uri="{CE6537A1-D6FC-4f65-9D91-7224C49458BB}"/>
          </c:extLst>
        </c:dLbl>
      </c:pivotFmt>
      <c:pivotFmt>
        <c:idx val="59"/>
        <c:dLbl>
          <c:idx val="0"/>
          <c:delete val="1"/>
          <c:extLst>
            <c:ext xmlns:c15="http://schemas.microsoft.com/office/drawing/2012/chart" uri="{CE6537A1-D6FC-4f65-9D91-7224C49458BB}"/>
          </c:extLst>
        </c:dLbl>
      </c:pivotFmt>
      <c:pivotFmt>
        <c:idx val="60"/>
        <c:dLbl>
          <c:idx val="0"/>
          <c:delete val="1"/>
          <c:extLst>
            <c:ext xmlns:c15="http://schemas.microsoft.com/office/drawing/2012/chart" uri="{CE6537A1-D6FC-4f65-9D91-7224C49458BB}"/>
          </c:extLst>
        </c:dLbl>
      </c:pivotFmt>
      <c:pivotFmt>
        <c:idx val="61"/>
        <c:dLbl>
          <c:idx val="0"/>
          <c:delete val="1"/>
          <c:extLst>
            <c:ext xmlns:c15="http://schemas.microsoft.com/office/drawing/2012/chart" uri="{CE6537A1-D6FC-4f65-9D91-7224C49458BB}"/>
          </c:extLst>
        </c:dLbl>
      </c:pivotFmt>
      <c:pivotFmt>
        <c:idx val="62"/>
        <c:dLbl>
          <c:idx val="0"/>
          <c:delete val="1"/>
          <c:extLst>
            <c:ext xmlns:c15="http://schemas.microsoft.com/office/drawing/2012/chart" uri="{CE6537A1-D6FC-4f65-9D91-7224C49458BB}"/>
          </c:extLst>
        </c:dLbl>
      </c:pivotFmt>
      <c:pivotFmt>
        <c:idx val="63"/>
        <c:dLbl>
          <c:idx val="0"/>
          <c:delete val="1"/>
          <c:extLst>
            <c:ext xmlns:c15="http://schemas.microsoft.com/office/drawing/2012/chart" uri="{CE6537A1-D6FC-4f65-9D91-7224C49458BB}"/>
          </c:extLst>
        </c:dLbl>
      </c:pivotFmt>
      <c:pivotFmt>
        <c:idx val="64"/>
        <c:dLbl>
          <c:idx val="0"/>
          <c:delete val="1"/>
          <c:extLst>
            <c:ext xmlns:c15="http://schemas.microsoft.com/office/drawing/2012/chart" uri="{CE6537A1-D6FC-4f65-9D91-7224C49458BB}"/>
          </c:extLst>
        </c:dLbl>
      </c:pivotFmt>
      <c:pivotFmt>
        <c:idx val="65"/>
        <c:dLbl>
          <c:idx val="0"/>
          <c:delete val="1"/>
          <c:extLst>
            <c:ext xmlns:c15="http://schemas.microsoft.com/office/drawing/2012/chart" uri="{CE6537A1-D6FC-4f65-9D91-7224C49458BB}"/>
          </c:extLst>
        </c:dLbl>
      </c:pivotFmt>
      <c:pivotFmt>
        <c:idx val="66"/>
        <c:dLbl>
          <c:idx val="0"/>
          <c:delete val="1"/>
          <c:extLst>
            <c:ext xmlns:c15="http://schemas.microsoft.com/office/drawing/2012/chart" uri="{CE6537A1-D6FC-4f65-9D91-7224C49458BB}"/>
          </c:extLst>
        </c:dLbl>
      </c:pivotFmt>
      <c:pivotFmt>
        <c:idx val="67"/>
        <c:dLbl>
          <c:idx val="0"/>
          <c:delete val="1"/>
          <c:extLst>
            <c:ext xmlns:c15="http://schemas.microsoft.com/office/drawing/2012/chart" uri="{CE6537A1-D6FC-4f65-9D91-7224C49458BB}"/>
          </c:extLst>
        </c:dLbl>
      </c:pivotFmt>
      <c:pivotFmt>
        <c:idx val="68"/>
        <c:dLbl>
          <c:idx val="0"/>
          <c:delete val="1"/>
          <c:extLst>
            <c:ext xmlns:c15="http://schemas.microsoft.com/office/drawing/2012/chart" uri="{CE6537A1-D6FC-4f65-9D91-7224C49458BB}"/>
          </c:extLst>
        </c:dLbl>
      </c:pivotFmt>
      <c:pivotFmt>
        <c:idx val="69"/>
        <c:dLbl>
          <c:idx val="0"/>
          <c:delete val="1"/>
          <c:extLst>
            <c:ext xmlns:c15="http://schemas.microsoft.com/office/drawing/2012/chart" uri="{CE6537A1-D6FC-4f65-9D91-7224C49458BB}"/>
          </c:extLst>
        </c:dLbl>
      </c:pivotFmt>
      <c:pivotFmt>
        <c:idx val="70"/>
        <c:dLbl>
          <c:idx val="0"/>
          <c:delete val="1"/>
          <c:extLst>
            <c:ext xmlns:c15="http://schemas.microsoft.com/office/drawing/2012/chart" uri="{CE6537A1-D6FC-4f65-9D91-7224C49458BB}"/>
          </c:extLst>
        </c:dLbl>
      </c:pivotFmt>
      <c:pivotFmt>
        <c:idx val="71"/>
        <c:dLbl>
          <c:idx val="0"/>
          <c:delete val="1"/>
          <c:extLst>
            <c:ext xmlns:c15="http://schemas.microsoft.com/office/drawing/2012/chart" uri="{CE6537A1-D6FC-4f65-9D91-7224C49458BB}"/>
          </c:extLst>
        </c:dLbl>
      </c:pivotFmt>
      <c:pivotFmt>
        <c:idx val="72"/>
        <c:dLbl>
          <c:idx val="0"/>
          <c:delete val="1"/>
          <c:extLst>
            <c:ext xmlns:c15="http://schemas.microsoft.com/office/drawing/2012/chart" uri="{CE6537A1-D6FC-4f65-9D91-7224C49458BB}"/>
          </c:extLst>
        </c:dLbl>
      </c:pivotFmt>
      <c:pivotFmt>
        <c:idx val="73"/>
        <c:dLbl>
          <c:idx val="0"/>
          <c:delete val="1"/>
          <c:extLst>
            <c:ext xmlns:c15="http://schemas.microsoft.com/office/drawing/2012/chart" uri="{CE6537A1-D6FC-4f65-9D91-7224C49458BB}"/>
          </c:extLst>
        </c:dLbl>
      </c:pivotFmt>
      <c:pivotFmt>
        <c:idx val="74"/>
        <c:dLbl>
          <c:idx val="0"/>
          <c:delete val="1"/>
          <c:extLst>
            <c:ext xmlns:c15="http://schemas.microsoft.com/office/drawing/2012/chart" uri="{CE6537A1-D6FC-4f65-9D91-7224C49458BB}"/>
          </c:extLst>
        </c:dLbl>
      </c:pivotFmt>
      <c:pivotFmt>
        <c:idx val="75"/>
        <c:dLbl>
          <c:idx val="0"/>
          <c:delete val="1"/>
          <c:extLst>
            <c:ext xmlns:c15="http://schemas.microsoft.com/office/drawing/2012/chart" uri="{CE6537A1-D6FC-4f65-9D91-7224C49458BB}"/>
          </c:extLst>
        </c:dLbl>
      </c:pivotFmt>
      <c:pivotFmt>
        <c:idx val="76"/>
        <c:dLbl>
          <c:idx val="0"/>
          <c:delete val="1"/>
          <c:extLst>
            <c:ext xmlns:c15="http://schemas.microsoft.com/office/drawing/2012/chart" uri="{CE6537A1-D6FC-4f65-9D91-7224C49458BB}"/>
          </c:extLst>
        </c:dLbl>
      </c:pivotFmt>
      <c:pivotFmt>
        <c:idx val="77"/>
        <c:dLbl>
          <c:idx val="0"/>
          <c:delete val="1"/>
          <c:extLst>
            <c:ext xmlns:c15="http://schemas.microsoft.com/office/drawing/2012/chart" uri="{CE6537A1-D6FC-4f65-9D91-7224C49458BB}"/>
          </c:extLst>
        </c:dLbl>
      </c:pivotFmt>
      <c:pivotFmt>
        <c:idx val="78"/>
        <c:dLbl>
          <c:idx val="0"/>
          <c:delete val="1"/>
          <c:extLst>
            <c:ext xmlns:c15="http://schemas.microsoft.com/office/drawing/2012/chart" uri="{CE6537A1-D6FC-4f65-9D91-7224C49458BB}"/>
          </c:extLst>
        </c:dLbl>
      </c:pivotFmt>
      <c:pivotFmt>
        <c:idx val="79"/>
        <c:dLbl>
          <c:idx val="0"/>
          <c:delete val="1"/>
          <c:extLst>
            <c:ext xmlns:c15="http://schemas.microsoft.com/office/drawing/2012/chart" uri="{CE6537A1-D6FC-4f65-9D91-7224C49458BB}"/>
          </c:extLst>
        </c:dLbl>
      </c:pivotFmt>
      <c:pivotFmt>
        <c:idx val="80"/>
        <c:dLbl>
          <c:idx val="0"/>
          <c:delete val="1"/>
          <c:extLst>
            <c:ext xmlns:c15="http://schemas.microsoft.com/office/drawing/2012/chart" uri="{CE6537A1-D6FC-4f65-9D91-7224C49458BB}"/>
          </c:extLst>
        </c:dLbl>
      </c:pivotFmt>
      <c:pivotFmt>
        <c:idx val="81"/>
        <c:dLbl>
          <c:idx val="0"/>
          <c:delete val="1"/>
          <c:extLst>
            <c:ext xmlns:c15="http://schemas.microsoft.com/office/drawing/2012/chart" uri="{CE6537A1-D6FC-4f65-9D91-7224C49458BB}"/>
          </c:extLst>
        </c:dLbl>
      </c:pivotFmt>
      <c:pivotFmt>
        <c:idx val="82"/>
        <c:dLbl>
          <c:idx val="0"/>
          <c:delete val="1"/>
          <c:extLst>
            <c:ext xmlns:c15="http://schemas.microsoft.com/office/drawing/2012/chart" uri="{CE6537A1-D6FC-4f65-9D91-7224C49458BB}"/>
          </c:extLst>
        </c:dLbl>
      </c:pivotFmt>
      <c:pivotFmt>
        <c:idx val="83"/>
        <c:dLbl>
          <c:idx val="0"/>
          <c:delete val="1"/>
          <c:extLst>
            <c:ext xmlns:c15="http://schemas.microsoft.com/office/drawing/2012/chart" uri="{CE6537A1-D6FC-4f65-9D91-7224C49458BB}"/>
          </c:extLst>
        </c:dLbl>
      </c:pivotFmt>
      <c:pivotFmt>
        <c:idx val="84"/>
        <c:spPr>
          <a:solidFill>
            <a:schemeClr val="accent1"/>
          </a:solidFill>
          <a:ln>
            <a:noFill/>
          </a:ln>
          <a:effectLst/>
        </c:spPr>
        <c:marker>
          <c:spPr>
            <a:solidFill>
              <a:schemeClr val="accent1"/>
            </a:solidFill>
            <a:ln w="9525">
              <a:solidFill>
                <a:schemeClr val="accent1"/>
              </a:solidFill>
            </a:ln>
            <a:effectLst/>
          </c:spPr>
        </c:marker>
        <c:dLbl>
          <c:idx val="0"/>
          <c:delete val="1"/>
          <c:extLst>
            <c:ext xmlns:c15="http://schemas.microsoft.com/office/drawing/2012/chart" uri="{CE6537A1-D6FC-4f65-9D91-7224C49458BB}"/>
          </c:extLst>
        </c:dLbl>
      </c:pivotFmt>
      <c:pivotFmt>
        <c:idx val="85"/>
        <c:dLbl>
          <c:idx val="0"/>
          <c:delete val="1"/>
          <c:extLst>
            <c:ext xmlns:c15="http://schemas.microsoft.com/office/drawing/2012/chart" uri="{CE6537A1-D6FC-4f65-9D91-7224C49458BB}"/>
          </c:extLst>
        </c:dLbl>
      </c:pivotFmt>
      <c:pivotFmt>
        <c:idx val="86"/>
        <c:dLbl>
          <c:idx val="0"/>
          <c:delete val="1"/>
          <c:extLst>
            <c:ext xmlns:c15="http://schemas.microsoft.com/office/drawing/2012/chart" uri="{CE6537A1-D6FC-4f65-9D91-7224C49458BB}"/>
          </c:extLst>
        </c:dLbl>
      </c:pivotFmt>
      <c:pivotFmt>
        <c:idx val="87"/>
        <c:dLbl>
          <c:idx val="0"/>
          <c:delete val="1"/>
          <c:extLst>
            <c:ext xmlns:c15="http://schemas.microsoft.com/office/drawing/2012/chart" uri="{CE6537A1-D6FC-4f65-9D91-7224C49458BB}"/>
          </c:extLst>
        </c:dLbl>
      </c:pivotFmt>
      <c:pivotFmt>
        <c:idx val="88"/>
        <c:dLbl>
          <c:idx val="0"/>
          <c:delete val="1"/>
          <c:extLst>
            <c:ext xmlns:c15="http://schemas.microsoft.com/office/drawing/2012/chart" uri="{CE6537A1-D6FC-4f65-9D91-7224C49458BB}"/>
          </c:extLst>
        </c:dLbl>
      </c:pivotFmt>
      <c:pivotFmt>
        <c:idx val="89"/>
        <c:dLbl>
          <c:idx val="0"/>
          <c:delete val="1"/>
          <c:extLst>
            <c:ext xmlns:c15="http://schemas.microsoft.com/office/drawing/2012/chart" uri="{CE6537A1-D6FC-4f65-9D91-7224C49458BB}"/>
          </c:extLst>
        </c:dLbl>
      </c:pivotFmt>
      <c:pivotFmt>
        <c:idx val="90"/>
        <c:dLbl>
          <c:idx val="0"/>
          <c:delete val="1"/>
          <c:extLst>
            <c:ext xmlns:c15="http://schemas.microsoft.com/office/drawing/2012/chart" uri="{CE6537A1-D6FC-4f65-9D91-7224C49458BB}"/>
          </c:extLst>
        </c:dLbl>
      </c:pivotFmt>
      <c:pivotFmt>
        <c:idx val="91"/>
        <c:dLbl>
          <c:idx val="0"/>
          <c:delete val="1"/>
          <c:extLst>
            <c:ext xmlns:c15="http://schemas.microsoft.com/office/drawing/2012/chart" uri="{CE6537A1-D6FC-4f65-9D91-7224C49458BB}"/>
          </c:extLst>
        </c:dLbl>
      </c:pivotFmt>
      <c:pivotFmt>
        <c:idx val="92"/>
        <c:dLbl>
          <c:idx val="0"/>
          <c:delete val="1"/>
          <c:extLst>
            <c:ext xmlns:c15="http://schemas.microsoft.com/office/drawing/2012/chart" uri="{CE6537A1-D6FC-4f65-9D91-7224C49458BB}"/>
          </c:extLst>
        </c:dLbl>
      </c:pivotFmt>
      <c:pivotFmt>
        <c:idx val="93"/>
        <c:dLbl>
          <c:idx val="0"/>
          <c:delete val="1"/>
          <c:extLst>
            <c:ext xmlns:c15="http://schemas.microsoft.com/office/drawing/2012/chart" uri="{CE6537A1-D6FC-4f65-9D91-7224C49458BB}"/>
          </c:extLst>
        </c:dLbl>
      </c:pivotFmt>
      <c:pivotFmt>
        <c:idx val="94"/>
        <c:dLbl>
          <c:idx val="0"/>
          <c:delete val="1"/>
          <c:extLst>
            <c:ext xmlns:c15="http://schemas.microsoft.com/office/drawing/2012/chart" uri="{CE6537A1-D6FC-4f65-9D91-7224C49458BB}"/>
          </c:extLst>
        </c:dLbl>
      </c:pivotFmt>
      <c:pivotFmt>
        <c:idx val="95"/>
        <c:dLbl>
          <c:idx val="0"/>
          <c:delete val="1"/>
          <c:extLst>
            <c:ext xmlns:c15="http://schemas.microsoft.com/office/drawing/2012/chart" uri="{CE6537A1-D6FC-4f65-9D91-7224C49458BB}"/>
          </c:extLst>
        </c:dLbl>
      </c:pivotFmt>
      <c:pivotFmt>
        <c:idx val="96"/>
        <c:dLbl>
          <c:idx val="0"/>
          <c:delete val="1"/>
          <c:extLst>
            <c:ext xmlns:c15="http://schemas.microsoft.com/office/drawing/2012/chart" uri="{CE6537A1-D6FC-4f65-9D91-7224C49458BB}"/>
          </c:extLst>
        </c:dLbl>
      </c:pivotFmt>
      <c:pivotFmt>
        <c:idx val="97"/>
        <c:dLbl>
          <c:idx val="0"/>
          <c:delete val="1"/>
          <c:extLst>
            <c:ext xmlns:c15="http://schemas.microsoft.com/office/drawing/2012/chart" uri="{CE6537A1-D6FC-4f65-9D91-7224C49458BB}"/>
          </c:extLst>
        </c:dLbl>
      </c:pivotFmt>
      <c:pivotFmt>
        <c:idx val="98"/>
        <c:dLbl>
          <c:idx val="0"/>
          <c:delete val="1"/>
          <c:extLst>
            <c:ext xmlns:c15="http://schemas.microsoft.com/office/drawing/2012/chart" uri="{CE6537A1-D6FC-4f65-9D91-7224C49458BB}"/>
          </c:extLst>
        </c:dLbl>
      </c:pivotFmt>
      <c:pivotFmt>
        <c:idx val="99"/>
        <c:dLbl>
          <c:idx val="0"/>
          <c:delete val="1"/>
          <c:extLst>
            <c:ext xmlns:c15="http://schemas.microsoft.com/office/drawing/2012/chart" uri="{CE6537A1-D6FC-4f65-9D91-7224C49458BB}"/>
          </c:extLst>
        </c:dLbl>
      </c:pivotFmt>
      <c:pivotFmt>
        <c:idx val="100"/>
        <c:dLbl>
          <c:idx val="0"/>
          <c:delete val="1"/>
          <c:extLst>
            <c:ext xmlns:c15="http://schemas.microsoft.com/office/drawing/2012/chart" uri="{CE6537A1-D6FC-4f65-9D91-7224C49458BB}"/>
          </c:extLst>
        </c:dLbl>
      </c:pivotFmt>
      <c:pivotFmt>
        <c:idx val="101"/>
        <c:dLbl>
          <c:idx val="0"/>
          <c:delete val="1"/>
          <c:extLst>
            <c:ext xmlns:c15="http://schemas.microsoft.com/office/drawing/2012/chart" uri="{CE6537A1-D6FC-4f65-9D91-7224C49458BB}"/>
          </c:extLst>
        </c:dLbl>
      </c:pivotFmt>
      <c:pivotFmt>
        <c:idx val="102"/>
        <c:dLbl>
          <c:idx val="0"/>
          <c:delete val="1"/>
          <c:extLst>
            <c:ext xmlns:c15="http://schemas.microsoft.com/office/drawing/2012/chart" uri="{CE6537A1-D6FC-4f65-9D91-7224C49458BB}"/>
          </c:extLst>
        </c:dLbl>
      </c:pivotFmt>
      <c:pivotFmt>
        <c:idx val="103"/>
        <c:dLbl>
          <c:idx val="0"/>
          <c:delete val="1"/>
          <c:extLst>
            <c:ext xmlns:c15="http://schemas.microsoft.com/office/drawing/2012/chart" uri="{CE6537A1-D6FC-4f65-9D91-7224C49458BB}"/>
          </c:extLst>
        </c:dLbl>
      </c:pivotFmt>
      <c:pivotFmt>
        <c:idx val="104"/>
        <c:dLbl>
          <c:idx val="0"/>
          <c:delete val="1"/>
          <c:extLst>
            <c:ext xmlns:c15="http://schemas.microsoft.com/office/drawing/2012/chart" uri="{CE6537A1-D6FC-4f65-9D91-7224C49458BB}"/>
          </c:extLst>
        </c:dLbl>
      </c:pivotFmt>
      <c:pivotFmt>
        <c:idx val="105"/>
        <c:dLbl>
          <c:idx val="0"/>
          <c:delete val="1"/>
          <c:extLst>
            <c:ext xmlns:c15="http://schemas.microsoft.com/office/drawing/2012/chart" uri="{CE6537A1-D6FC-4f65-9D91-7224C49458BB}"/>
          </c:extLst>
        </c:dLbl>
      </c:pivotFmt>
      <c:pivotFmt>
        <c:idx val="106"/>
        <c:dLbl>
          <c:idx val="0"/>
          <c:delete val="1"/>
          <c:extLst>
            <c:ext xmlns:c15="http://schemas.microsoft.com/office/drawing/2012/chart" uri="{CE6537A1-D6FC-4f65-9D91-7224C49458BB}"/>
          </c:extLst>
        </c:dLbl>
      </c:pivotFmt>
      <c:pivotFmt>
        <c:idx val="107"/>
        <c:dLbl>
          <c:idx val="0"/>
          <c:delete val="1"/>
          <c:extLst>
            <c:ext xmlns:c15="http://schemas.microsoft.com/office/drawing/2012/chart" uri="{CE6537A1-D6FC-4f65-9D91-7224C49458BB}"/>
          </c:extLst>
        </c:dLbl>
      </c:pivotFmt>
      <c:pivotFmt>
        <c:idx val="108"/>
        <c:dLbl>
          <c:idx val="0"/>
          <c:delete val="1"/>
          <c:extLst>
            <c:ext xmlns:c15="http://schemas.microsoft.com/office/drawing/2012/chart" uri="{CE6537A1-D6FC-4f65-9D91-7224C49458BB}"/>
          </c:extLst>
        </c:dLbl>
      </c:pivotFmt>
      <c:pivotFmt>
        <c:idx val="109"/>
        <c:dLbl>
          <c:idx val="0"/>
          <c:delete val="1"/>
          <c:extLst>
            <c:ext xmlns:c15="http://schemas.microsoft.com/office/drawing/2012/chart" uri="{CE6537A1-D6FC-4f65-9D91-7224C49458BB}"/>
          </c:extLst>
        </c:dLbl>
      </c:pivotFmt>
      <c:pivotFmt>
        <c:idx val="110"/>
        <c:spPr>
          <a:solidFill>
            <a:srgbClr val="33CC33"/>
          </a:solidFill>
          <a:ln>
            <a:solidFill>
              <a:srgbClr val="33CC33"/>
            </a:solidFill>
          </a:ln>
          <a:effectLst/>
        </c:spPr>
        <c:marker>
          <c:symbol val="circle"/>
          <c:size val="5"/>
          <c:spPr>
            <a:solidFill>
              <a:schemeClr val="accent1"/>
            </a:solidFill>
            <a:ln w="9525">
              <a:solidFill>
                <a:schemeClr val="accent1"/>
              </a:solidFill>
            </a:ln>
            <a:effectLst/>
          </c:spPr>
        </c:marker>
        <c:dLbl>
          <c:idx val="0"/>
          <c:delete val="1"/>
          <c:extLst>
            <c:ext xmlns:c15="http://schemas.microsoft.com/office/drawing/2012/chart" uri="{CE6537A1-D6FC-4f65-9D91-7224C49458BB}"/>
          </c:extLst>
        </c:dLbl>
      </c:pivotFmt>
      <c:pivotFmt>
        <c:idx val="111"/>
        <c:spPr>
          <a:solidFill>
            <a:schemeClr val="tx1">
              <a:lumMod val="50000"/>
              <a:lumOff val="50000"/>
            </a:schemeClr>
          </a:solidFill>
          <a:ln>
            <a:solidFill>
              <a:srgbClr val="002060"/>
            </a:solidFill>
          </a:ln>
          <a:effectLst/>
        </c:spPr>
        <c:marker>
          <c:symbol val="circle"/>
          <c:size val="5"/>
          <c:spPr>
            <a:solidFill>
              <a:schemeClr val="accent2"/>
            </a:solidFill>
            <a:ln w="9525">
              <a:solidFill>
                <a:schemeClr val="accent2"/>
              </a:solidFill>
            </a:ln>
            <a:effectLst/>
          </c:spPr>
        </c:marker>
        <c:dLbl>
          <c:idx val="0"/>
          <c:delete val="1"/>
          <c:extLst>
            <c:ext xmlns:c15="http://schemas.microsoft.com/office/drawing/2012/chart" uri="{CE6537A1-D6FC-4f65-9D91-7224C49458BB}"/>
          </c:extLst>
        </c:dLbl>
      </c:pivotFmt>
      <c:pivotFmt>
        <c:idx val="112"/>
        <c:spPr>
          <a:solidFill>
            <a:srgbClr val="33CC33"/>
          </a:solidFill>
          <a:ln>
            <a:solidFill>
              <a:srgbClr val="33CC33"/>
            </a:solidFill>
          </a:ln>
          <a:effectLst/>
        </c:spPr>
        <c:marker>
          <c:symbol val="none"/>
        </c:marker>
        <c:dLbl>
          <c:idx val="0"/>
          <c:delete val="1"/>
          <c:extLst>
            <c:ext xmlns:c15="http://schemas.microsoft.com/office/drawing/2012/chart" uri="{CE6537A1-D6FC-4f65-9D91-7224C49458BB}"/>
          </c:extLst>
        </c:dLbl>
      </c:pivotFmt>
      <c:pivotFmt>
        <c:idx val="113"/>
        <c:spPr>
          <a:solidFill>
            <a:schemeClr val="tx1">
              <a:lumMod val="50000"/>
              <a:lumOff val="50000"/>
            </a:schemeClr>
          </a:solidFill>
          <a:ln>
            <a:solidFill>
              <a:srgbClr val="002060"/>
            </a:solidFill>
          </a:ln>
          <a:effectLst/>
        </c:spPr>
        <c:marker>
          <c:symbol val="none"/>
        </c:marker>
        <c:dLbl>
          <c:idx val="0"/>
          <c:delete val="1"/>
          <c:extLst>
            <c:ext xmlns:c15="http://schemas.microsoft.com/office/drawing/2012/chart" uri="{CE6537A1-D6FC-4f65-9D91-7224C49458BB}"/>
          </c:extLst>
        </c:dLbl>
      </c:pivotFmt>
      <c:pivotFmt>
        <c:idx val="114"/>
        <c:spPr>
          <a:solidFill>
            <a:srgbClr val="33CC33"/>
          </a:solidFill>
          <a:ln>
            <a:solidFill>
              <a:srgbClr val="33CC33"/>
            </a:solidFill>
          </a:ln>
          <a:effectLst/>
        </c:spPr>
        <c:marker>
          <c:symbol val="none"/>
        </c:marker>
        <c:dLbl>
          <c:idx val="0"/>
          <c:delete val="1"/>
          <c:extLst>
            <c:ext xmlns:c15="http://schemas.microsoft.com/office/drawing/2012/chart" uri="{CE6537A1-D6FC-4f65-9D91-7224C49458BB}"/>
          </c:extLst>
        </c:dLbl>
      </c:pivotFmt>
      <c:pivotFmt>
        <c:idx val="115"/>
        <c:spPr>
          <a:solidFill>
            <a:schemeClr val="tx1">
              <a:lumMod val="50000"/>
              <a:lumOff val="50000"/>
            </a:schemeClr>
          </a:solidFill>
          <a:ln>
            <a:solidFill>
              <a:srgbClr val="002060"/>
            </a:solidFill>
          </a:ln>
          <a:effectLst/>
        </c:spPr>
        <c:marker>
          <c:symbol val="none"/>
        </c:marker>
        <c:dLbl>
          <c:idx val="0"/>
          <c:delete val="1"/>
          <c:extLst>
            <c:ext xmlns:c15="http://schemas.microsoft.com/office/drawing/2012/chart" uri="{CE6537A1-D6FC-4f65-9D91-7224C49458BB}"/>
          </c:extLst>
        </c:dLbl>
      </c:pivotFmt>
      <c:pivotFmt>
        <c:idx val="116"/>
        <c:spPr>
          <a:solidFill>
            <a:srgbClr val="33CC33"/>
          </a:solidFill>
          <a:ln>
            <a:solidFill>
              <a:srgbClr val="33CC33"/>
            </a:solidFill>
          </a:ln>
          <a:effectLst/>
        </c:spPr>
        <c:marker>
          <c:symbol val="none"/>
        </c:marker>
        <c:dLbl>
          <c:idx val="0"/>
          <c:delete val="1"/>
          <c:extLst>
            <c:ext xmlns:c15="http://schemas.microsoft.com/office/drawing/2012/chart" uri="{CE6537A1-D6FC-4f65-9D91-7224C49458BB}"/>
          </c:extLst>
        </c:dLbl>
      </c:pivotFmt>
      <c:pivotFmt>
        <c:idx val="117"/>
        <c:spPr>
          <a:solidFill>
            <a:schemeClr val="tx1">
              <a:lumMod val="50000"/>
              <a:lumOff val="50000"/>
            </a:schemeClr>
          </a:solidFill>
          <a:ln>
            <a:solidFill>
              <a:srgbClr val="002060"/>
            </a:solidFill>
          </a:ln>
          <a:effectLst/>
        </c:spPr>
        <c:marker>
          <c:symbol val="none"/>
        </c:marker>
        <c:dLbl>
          <c:idx val="0"/>
          <c:delete val="1"/>
          <c:extLst>
            <c:ext xmlns:c15="http://schemas.microsoft.com/office/drawing/2012/chart" uri="{CE6537A1-D6FC-4f65-9D91-7224C49458BB}"/>
          </c:extLst>
        </c:dLbl>
      </c:pivotFmt>
      <c:pivotFmt>
        <c:idx val="118"/>
        <c:marker>
          <c:symbol val="none"/>
        </c:marker>
        <c:dLbl>
          <c:idx val="0"/>
          <c:delete val="1"/>
          <c:extLst>
            <c:ext xmlns:c15="http://schemas.microsoft.com/office/drawing/2012/chart" uri="{CE6537A1-D6FC-4f65-9D91-7224C49458BB}"/>
          </c:extLst>
        </c:dLbl>
      </c:pivotFmt>
    </c:pivotFmts>
    <c:plotArea>
      <c:layout>
        <c:manualLayout>
          <c:layoutTarget val="inner"/>
          <c:xMode val="edge"/>
          <c:yMode val="edge"/>
          <c:x val="0.10716522050272834"/>
          <c:y val="0.14175867604765746"/>
          <c:w val="0.82276420971513919"/>
          <c:h val="0.64672261113550789"/>
        </c:manualLayout>
      </c:layout>
      <c:barChart>
        <c:barDir val="col"/>
        <c:grouping val="clustered"/>
        <c:varyColors val="0"/>
        <c:ser>
          <c:idx val="0"/>
          <c:order val="0"/>
          <c:tx>
            <c:strRef>
              <c:f>'Pivot 1 FTE'!$B$3:$B$4</c:f>
              <c:strCache>
                <c:ptCount val="1"/>
                <c:pt idx="0">
                  <c:v>ACT</c:v>
                </c:pt>
              </c:strCache>
            </c:strRef>
          </c:tx>
          <c:spPr>
            <a:solidFill>
              <a:srgbClr val="33CC33"/>
            </a:solidFill>
            <a:ln>
              <a:solidFill>
                <a:srgbClr val="33CC33"/>
              </a:solidFill>
            </a:ln>
            <a:effectLst/>
          </c:spPr>
          <c:invertIfNegative val="0"/>
          <c:cat>
            <c:multiLvlStrRef>
              <c:f>'Pivot 1 FTE'!$A$5:$A$29</c:f>
              <c:multiLvlStrCache>
                <c:ptCount val="12"/>
                <c:lvl>
                  <c:pt idx="0">
                    <c:v> Jan-22</c:v>
                  </c:pt>
                  <c:pt idx="1">
                    <c:v> Feb-22</c:v>
                  </c:pt>
                  <c:pt idx="2">
                    <c:v> Mar-22</c:v>
                  </c:pt>
                  <c:pt idx="3">
                    <c:v> Apr-22</c:v>
                  </c:pt>
                  <c:pt idx="4">
                    <c:v> May-22</c:v>
                  </c:pt>
                  <c:pt idx="5">
                    <c:v> Jun-22</c:v>
                  </c:pt>
                  <c:pt idx="6">
                    <c:v> Jul-22</c:v>
                  </c:pt>
                  <c:pt idx="7">
                    <c:v> Aug-22</c:v>
                  </c:pt>
                  <c:pt idx="8">
                    <c:v> Sep-22</c:v>
                  </c:pt>
                  <c:pt idx="9">
                    <c:v> Oct-22</c:v>
                  </c:pt>
                  <c:pt idx="10">
                    <c:v> Nov-22</c:v>
                  </c:pt>
                  <c:pt idx="11">
                    <c:v> Dec-22</c:v>
                  </c:pt>
                </c:lvl>
                <c:lvl>
                  <c:pt idx="0">
                    <c:v>Shanghai</c:v>
                  </c:pt>
                </c:lvl>
              </c:multiLvlStrCache>
            </c:multiLvlStrRef>
          </c:cat>
          <c:val>
            <c:numRef>
              <c:f>'Pivot 1 FTE'!$B$5:$B$29</c:f>
              <c:numCache>
                <c:formatCode>General</c:formatCode>
                <c:ptCount val="12"/>
                <c:pt idx="0">
                  <c:v>230</c:v>
                </c:pt>
                <c:pt idx="1">
                  <c:v>235</c:v>
                </c:pt>
                <c:pt idx="2">
                  <c:v>247</c:v>
                </c:pt>
                <c:pt idx="3">
                  <c:v>257</c:v>
                </c:pt>
                <c:pt idx="4">
                  <c:v>263</c:v>
                </c:pt>
                <c:pt idx="5">
                  <c:v>263</c:v>
                </c:pt>
                <c:pt idx="6">
                  <c:v>263</c:v>
                </c:pt>
                <c:pt idx="7">
                  <c:v>0</c:v>
                </c:pt>
                <c:pt idx="8">
                  <c:v>0</c:v>
                </c:pt>
                <c:pt idx="9">
                  <c:v>0</c:v>
                </c:pt>
                <c:pt idx="10">
                  <c:v>0</c:v>
                </c:pt>
                <c:pt idx="11">
                  <c:v>0</c:v>
                </c:pt>
              </c:numCache>
            </c:numRef>
          </c:val>
          <c:extLst>
            <c:ext xmlns:c16="http://schemas.microsoft.com/office/drawing/2014/chart" uri="{C3380CC4-5D6E-409C-BE32-E72D297353CC}">
              <c16:uniqueId val="{00000036-3EA1-47F9-A43A-6C4523EA2255}"/>
            </c:ext>
          </c:extLst>
        </c:ser>
        <c:ser>
          <c:idx val="1"/>
          <c:order val="1"/>
          <c:tx>
            <c:strRef>
              <c:f>'Pivot 1 FTE'!$C$3:$C$4</c:f>
              <c:strCache>
                <c:ptCount val="1"/>
                <c:pt idx="0">
                  <c:v>PLAN</c:v>
                </c:pt>
              </c:strCache>
            </c:strRef>
          </c:tx>
          <c:spPr>
            <a:solidFill>
              <a:schemeClr val="tx1">
                <a:lumMod val="50000"/>
                <a:lumOff val="50000"/>
              </a:schemeClr>
            </a:solidFill>
            <a:ln>
              <a:solidFill>
                <a:srgbClr val="002060"/>
              </a:solidFill>
            </a:ln>
            <a:effectLst/>
          </c:spPr>
          <c:invertIfNegative val="0"/>
          <c:cat>
            <c:multiLvlStrRef>
              <c:f>'Pivot 1 FTE'!$A$5:$A$29</c:f>
              <c:multiLvlStrCache>
                <c:ptCount val="12"/>
                <c:lvl>
                  <c:pt idx="0">
                    <c:v> Jan-22</c:v>
                  </c:pt>
                  <c:pt idx="1">
                    <c:v> Feb-22</c:v>
                  </c:pt>
                  <c:pt idx="2">
                    <c:v> Mar-22</c:v>
                  </c:pt>
                  <c:pt idx="3">
                    <c:v> Apr-22</c:v>
                  </c:pt>
                  <c:pt idx="4">
                    <c:v> May-22</c:v>
                  </c:pt>
                  <c:pt idx="5">
                    <c:v> Jun-22</c:v>
                  </c:pt>
                  <c:pt idx="6">
                    <c:v> Jul-22</c:v>
                  </c:pt>
                  <c:pt idx="7">
                    <c:v> Aug-22</c:v>
                  </c:pt>
                  <c:pt idx="8">
                    <c:v> Sep-22</c:v>
                  </c:pt>
                  <c:pt idx="9">
                    <c:v> Oct-22</c:v>
                  </c:pt>
                  <c:pt idx="10">
                    <c:v> Nov-22</c:v>
                  </c:pt>
                  <c:pt idx="11">
                    <c:v> Dec-22</c:v>
                  </c:pt>
                </c:lvl>
                <c:lvl>
                  <c:pt idx="0">
                    <c:v>Shanghai</c:v>
                  </c:pt>
                </c:lvl>
              </c:multiLvlStrCache>
            </c:multiLvlStrRef>
          </c:cat>
          <c:val>
            <c:numRef>
              <c:f>'Pivot 1 FTE'!$C$5:$C$29</c:f>
              <c:numCache>
                <c:formatCode>General</c:formatCode>
                <c:ptCount val="12"/>
                <c:pt idx="0">
                  <c:v>230</c:v>
                </c:pt>
                <c:pt idx="1">
                  <c:v>231.3</c:v>
                </c:pt>
                <c:pt idx="2">
                  <c:v>238.61800000000002</c:v>
                </c:pt>
                <c:pt idx="3">
                  <c:v>240.45418000000001</c:v>
                </c:pt>
                <c:pt idx="4">
                  <c:v>242.30872180000003</c:v>
                </c:pt>
                <c:pt idx="5">
                  <c:v>245.18180901800002</c:v>
                </c:pt>
                <c:pt idx="6">
                  <c:v>248.07362710818003</c:v>
                </c:pt>
                <c:pt idx="7">
                  <c:v>250.98436337926185</c:v>
                </c:pt>
                <c:pt idx="8">
                  <c:v>253.91420701305447</c:v>
                </c:pt>
                <c:pt idx="9">
                  <c:v>255.86334908318503</c:v>
                </c:pt>
                <c:pt idx="10">
                  <c:v>257.83198257401682</c:v>
                </c:pt>
                <c:pt idx="11">
                  <c:v>259.820302399757</c:v>
                </c:pt>
              </c:numCache>
            </c:numRef>
          </c:val>
          <c:extLst>
            <c:ext xmlns:c16="http://schemas.microsoft.com/office/drawing/2014/chart" uri="{C3380CC4-5D6E-409C-BE32-E72D297353CC}">
              <c16:uniqueId val="{0000003A-3EA1-47F9-A43A-6C4523EA2255}"/>
            </c:ext>
          </c:extLst>
        </c:ser>
        <c:dLbls>
          <c:showLegendKey val="0"/>
          <c:showVal val="0"/>
          <c:showCatName val="0"/>
          <c:showSerName val="0"/>
          <c:showPercent val="0"/>
          <c:showBubbleSize val="0"/>
        </c:dLbls>
        <c:gapWidth val="219"/>
        <c:overlap val="-27"/>
        <c:axId val="2114457007"/>
        <c:axId val="2114458255"/>
      </c:barChart>
      <c:catAx>
        <c:axId val="21144570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Month</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2114458255"/>
        <c:crosses val="autoZero"/>
        <c:auto val="1"/>
        <c:lblAlgn val="ctr"/>
        <c:lblOffset val="100"/>
        <c:noMultiLvlLbl val="0"/>
      </c:catAx>
      <c:valAx>
        <c:axId val="21144582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FTE</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2114457007"/>
        <c:crosses val="autoZero"/>
        <c:crossBetween val="between"/>
      </c:valAx>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showDLblsOverMax val="0"/>
    <c:extLst/>
  </c:chart>
  <c:txPr>
    <a:bodyPr/>
    <a:lstStyle/>
    <a:p>
      <a:pPr>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Controlling Dashboard FTE Umsatz.xlsx]Pivot 2 Umsatz !PivotTable14</c:name>
    <c:fmtId val="1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Umsatz PLAN versus ACT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ivotFmts>
      <c:pivotFmt>
        <c:idx val="0"/>
        <c:spPr>
          <a:solidFill>
            <a:srgbClr val="00206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00206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tx1">
              <a:lumMod val="50000"/>
              <a:lumOff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2 Umsatz '!$B$3:$B$4</c:f>
              <c:strCache>
                <c:ptCount val="1"/>
                <c:pt idx="0">
                  <c:v>ACT</c:v>
                </c:pt>
              </c:strCache>
            </c:strRef>
          </c:tx>
          <c:spPr>
            <a:solidFill>
              <a:srgbClr val="002060"/>
            </a:solidFill>
            <a:ln>
              <a:noFill/>
            </a:ln>
            <a:effectLst/>
          </c:spPr>
          <c:invertIfNegative val="0"/>
          <c:cat>
            <c:multiLvlStrRef>
              <c:f>'Pivot 2 Umsatz '!$A$5:$A$29</c:f>
              <c:multiLvlStrCache>
                <c:ptCount val="12"/>
                <c:lvl>
                  <c:pt idx="0">
                    <c:v> Jan-22</c:v>
                  </c:pt>
                  <c:pt idx="1">
                    <c:v> Feb-22</c:v>
                  </c:pt>
                  <c:pt idx="2">
                    <c:v> Mar-22</c:v>
                  </c:pt>
                  <c:pt idx="3">
                    <c:v> Apr-22</c:v>
                  </c:pt>
                  <c:pt idx="4">
                    <c:v> May-22</c:v>
                  </c:pt>
                  <c:pt idx="5">
                    <c:v> Jun-22</c:v>
                  </c:pt>
                  <c:pt idx="6">
                    <c:v> Jul-22</c:v>
                  </c:pt>
                  <c:pt idx="7">
                    <c:v> Aug-22</c:v>
                  </c:pt>
                  <c:pt idx="8">
                    <c:v> Sep-22</c:v>
                  </c:pt>
                  <c:pt idx="9">
                    <c:v> Oct-22</c:v>
                  </c:pt>
                  <c:pt idx="10">
                    <c:v> Nov-22</c:v>
                  </c:pt>
                  <c:pt idx="11">
                    <c:v> Dec-22</c:v>
                  </c:pt>
                </c:lvl>
                <c:lvl>
                  <c:pt idx="0">
                    <c:v>Shanghai</c:v>
                  </c:pt>
                </c:lvl>
              </c:multiLvlStrCache>
            </c:multiLvlStrRef>
          </c:cat>
          <c:val>
            <c:numRef>
              <c:f>'Pivot 2 Umsatz '!$B$5:$B$29</c:f>
              <c:numCache>
                <c:formatCode>#,##0</c:formatCode>
                <c:ptCount val="12"/>
                <c:pt idx="0">
                  <c:v>100</c:v>
                </c:pt>
                <c:pt idx="1">
                  <c:v>100</c:v>
                </c:pt>
                <c:pt idx="2">
                  <c:v>100</c:v>
                </c:pt>
                <c:pt idx="3">
                  <c:v>110</c:v>
                </c:pt>
                <c:pt idx="4">
                  <c:v>115</c:v>
                </c:pt>
                <c:pt idx="5">
                  <c:v>90</c:v>
                </c:pt>
                <c:pt idx="6">
                  <c:v>90</c:v>
                </c:pt>
                <c:pt idx="7">
                  <c:v>0</c:v>
                </c:pt>
                <c:pt idx="8">
                  <c:v>0</c:v>
                </c:pt>
                <c:pt idx="9">
                  <c:v>0</c:v>
                </c:pt>
                <c:pt idx="10">
                  <c:v>0</c:v>
                </c:pt>
                <c:pt idx="11">
                  <c:v>0</c:v>
                </c:pt>
              </c:numCache>
            </c:numRef>
          </c:val>
          <c:extLst>
            <c:ext xmlns:c16="http://schemas.microsoft.com/office/drawing/2014/chart" uri="{C3380CC4-5D6E-409C-BE32-E72D297353CC}">
              <c16:uniqueId val="{00000000-3752-4E82-8D90-4978DE18A069}"/>
            </c:ext>
          </c:extLst>
        </c:ser>
        <c:ser>
          <c:idx val="1"/>
          <c:order val="1"/>
          <c:tx>
            <c:strRef>
              <c:f>'Pivot 2 Umsatz '!$C$3:$C$4</c:f>
              <c:strCache>
                <c:ptCount val="1"/>
                <c:pt idx="0">
                  <c:v>PLAN</c:v>
                </c:pt>
              </c:strCache>
            </c:strRef>
          </c:tx>
          <c:spPr>
            <a:solidFill>
              <a:schemeClr val="tx1">
                <a:lumMod val="50000"/>
                <a:lumOff val="50000"/>
              </a:schemeClr>
            </a:solidFill>
            <a:ln>
              <a:noFill/>
            </a:ln>
            <a:effectLst/>
          </c:spPr>
          <c:invertIfNegative val="0"/>
          <c:cat>
            <c:multiLvlStrRef>
              <c:f>'Pivot 2 Umsatz '!$A$5:$A$29</c:f>
              <c:multiLvlStrCache>
                <c:ptCount val="12"/>
                <c:lvl>
                  <c:pt idx="0">
                    <c:v> Jan-22</c:v>
                  </c:pt>
                  <c:pt idx="1">
                    <c:v> Feb-22</c:v>
                  </c:pt>
                  <c:pt idx="2">
                    <c:v> Mar-22</c:v>
                  </c:pt>
                  <c:pt idx="3">
                    <c:v> Apr-22</c:v>
                  </c:pt>
                  <c:pt idx="4">
                    <c:v> May-22</c:v>
                  </c:pt>
                  <c:pt idx="5">
                    <c:v> Jun-22</c:v>
                  </c:pt>
                  <c:pt idx="6">
                    <c:v> Jul-22</c:v>
                  </c:pt>
                  <c:pt idx="7">
                    <c:v> Aug-22</c:v>
                  </c:pt>
                  <c:pt idx="8">
                    <c:v> Sep-22</c:v>
                  </c:pt>
                  <c:pt idx="9">
                    <c:v> Oct-22</c:v>
                  </c:pt>
                  <c:pt idx="10">
                    <c:v> Nov-22</c:v>
                  </c:pt>
                  <c:pt idx="11">
                    <c:v> Dec-22</c:v>
                  </c:pt>
                </c:lvl>
                <c:lvl>
                  <c:pt idx="0">
                    <c:v>Shanghai</c:v>
                  </c:pt>
                </c:lvl>
              </c:multiLvlStrCache>
            </c:multiLvlStrRef>
          </c:cat>
          <c:val>
            <c:numRef>
              <c:f>'Pivot 2 Umsatz '!$C$5:$C$29</c:f>
              <c:numCache>
                <c:formatCode>#,##0</c:formatCode>
                <c:ptCount val="12"/>
                <c:pt idx="0">
                  <c:v>100</c:v>
                </c:pt>
                <c:pt idx="1">
                  <c:v>100.49999999999999</c:v>
                </c:pt>
                <c:pt idx="2">
                  <c:v>101.00249999999997</c:v>
                </c:pt>
                <c:pt idx="3">
                  <c:v>101.50751249999996</c:v>
                </c:pt>
                <c:pt idx="4">
                  <c:v>102.01505006249995</c:v>
                </c:pt>
                <c:pt idx="5">
                  <c:v>102.52512531281243</c:v>
                </c:pt>
                <c:pt idx="6">
                  <c:v>103.03775093937648</c:v>
                </c:pt>
                <c:pt idx="7">
                  <c:v>103.55293969407334</c:v>
                </c:pt>
                <c:pt idx="8">
                  <c:v>104.0707043925437</c:v>
                </c:pt>
                <c:pt idx="9">
                  <c:v>104.59105791450641</c:v>
                </c:pt>
                <c:pt idx="10">
                  <c:v>105.11401320407893</c:v>
                </c:pt>
                <c:pt idx="11">
                  <c:v>105.63958327009931</c:v>
                </c:pt>
              </c:numCache>
            </c:numRef>
          </c:val>
          <c:extLst>
            <c:ext xmlns:c16="http://schemas.microsoft.com/office/drawing/2014/chart" uri="{C3380CC4-5D6E-409C-BE32-E72D297353CC}">
              <c16:uniqueId val="{00000003-3752-4E82-8D90-4978DE18A069}"/>
            </c:ext>
          </c:extLst>
        </c:ser>
        <c:dLbls>
          <c:showLegendKey val="0"/>
          <c:showVal val="0"/>
          <c:showCatName val="0"/>
          <c:showSerName val="0"/>
          <c:showPercent val="0"/>
          <c:showBubbleSize val="0"/>
        </c:dLbls>
        <c:gapWidth val="219"/>
        <c:overlap val="-27"/>
        <c:axId val="358911120"/>
        <c:axId val="358908624"/>
      </c:barChart>
      <c:catAx>
        <c:axId val="35891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358908624"/>
        <c:crosses val="autoZero"/>
        <c:auto val="1"/>
        <c:lblAlgn val="ctr"/>
        <c:lblOffset val="100"/>
        <c:noMultiLvlLbl val="0"/>
      </c:catAx>
      <c:valAx>
        <c:axId val="358908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3589111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8740157499999996" l="0.7" r="0.7" t="0.78740157499999996" header="0.3" footer="0.3"/>
    <c:pageSetup/>
  </c:printSettings>
  <c:extLst>
    <c:ext xmlns:c14="http://schemas.microsoft.com/office/drawing/2007/8/2/chart" uri="{781A3756-C4B2-4CAC-9D66-4F8BD8637D16}">
      <c14:pivotOptions>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738909</xdr:colOff>
      <xdr:row>4</xdr:row>
      <xdr:rowOff>103908</xdr:rowOff>
    </xdr:from>
    <xdr:to>
      <xdr:col>20</xdr:col>
      <xdr:colOff>669637</xdr:colOff>
      <xdr:row>25</xdr:row>
      <xdr:rowOff>46182</xdr:rowOff>
    </xdr:to>
    <xdr:graphicFrame macro="">
      <xdr:nvGraphicFramePr>
        <xdr:cNvPr id="24" name="Diagramm 23">
          <a:extLst>
            <a:ext uri="{FF2B5EF4-FFF2-40B4-BE49-F238E27FC236}">
              <a16:creationId xmlns:a16="http://schemas.microsoft.com/office/drawing/2014/main" id="{BE7900A4-893D-49B2-8E63-E6D2976BA1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46182</xdr:colOff>
      <xdr:row>4</xdr:row>
      <xdr:rowOff>94741</xdr:rowOff>
    </xdr:from>
    <xdr:to>
      <xdr:col>2</xdr:col>
      <xdr:colOff>350982</xdr:colOff>
      <xdr:row>18</xdr:row>
      <xdr:rowOff>6196</xdr:rowOff>
    </xdr:to>
    <mc:AlternateContent xmlns:mc="http://schemas.openxmlformats.org/markup-compatibility/2006">
      <mc:Choice xmlns:a14="http://schemas.microsoft.com/office/drawing/2010/main" Requires="a14">
        <xdr:graphicFrame macro="">
          <xdr:nvGraphicFramePr>
            <xdr:cNvPr id="29" name="Company">
              <a:extLst>
                <a:ext uri="{FF2B5EF4-FFF2-40B4-BE49-F238E27FC236}">
                  <a16:creationId xmlns:a16="http://schemas.microsoft.com/office/drawing/2014/main" id="{24345C35-F5A7-4A70-B317-433F169E86A1}"/>
                </a:ext>
              </a:extLst>
            </xdr:cNvPr>
            <xdr:cNvGraphicFramePr/>
          </xdr:nvGraphicFramePr>
          <xdr:xfrm>
            <a:off x="0" y="0"/>
            <a:ext cx="0" cy="0"/>
          </xdr:xfrm>
          <a:graphic>
            <a:graphicData uri="http://schemas.microsoft.com/office/drawing/2010/slicer">
              <sle:slicer xmlns:sle="http://schemas.microsoft.com/office/drawing/2010/slicer" name="Company"/>
            </a:graphicData>
          </a:graphic>
        </xdr:graphicFrame>
      </mc:Choice>
      <mc:Fallback>
        <xdr:sp macro="" textlink="">
          <xdr:nvSpPr>
            <xdr:cNvPr id="0" name=""/>
            <xdr:cNvSpPr>
              <a:spLocks noTextEdit="1"/>
            </xdr:cNvSpPr>
          </xdr:nvSpPr>
          <xdr:spPr>
            <a:xfrm>
              <a:off x="46182" y="799014"/>
              <a:ext cx="1828800" cy="2497637"/>
            </a:xfrm>
            <a:prstGeom prst="rect">
              <a:avLst/>
            </a:prstGeom>
            <a:solidFill>
              <a:prstClr val="white"/>
            </a:solidFill>
            <a:ln w="1">
              <a:solidFill>
                <a:prstClr val="green"/>
              </a:solidFill>
            </a:ln>
          </xdr:spPr>
          <xdr:txBody>
            <a:bodyPr vertOverflow="clip" horzOverflow="clip"/>
            <a:lstStyle/>
            <a:p>
              <a:r>
                <a:rPr lang="en-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2</xdr:col>
      <xdr:colOff>375737</xdr:colOff>
      <xdr:row>4</xdr:row>
      <xdr:rowOff>100344</xdr:rowOff>
    </xdr:from>
    <xdr:to>
      <xdr:col>4</xdr:col>
      <xdr:colOff>680537</xdr:colOff>
      <xdr:row>18</xdr:row>
      <xdr:rowOff>11799</xdr:rowOff>
    </xdr:to>
    <mc:AlternateContent xmlns:mc="http://schemas.openxmlformats.org/markup-compatibility/2006">
      <mc:Choice xmlns:a14="http://schemas.microsoft.com/office/drawing/2010/main" Requires="a14">
        <xdr:graphicFrame macro="">
          <xdr:nvGraphicFramePr>
            <xdr:cNvPr id="30" name="Plant">
              <a:extLst>
                <a:ext uri="{FF2B5EF4-FFF2-40B4-BE49-F238E27FC236}">
                  <a16:creationId xmlns:a16="http://schemas.microsoft.com/office/drawing/2014/main" id="{AAF31E13-84F2-4E95-8F3A-C7B3E6FE1CA7}"/>
                </a:ext>
              </a:extLst>
            </xdr:cNvPr>
            <xdr:cNvGraphicFramePr/>
          </xdr:nvGraphicFramePr>
          <xdr:xfrm>
            <a:off x="0" y="0"/>
            <a:ext cx="0" cy="0"/>
          </xdr:xfrm>
          <a:graphic>
            <a:graphicData uri="http://schemas.microsoft.com/office/drawing/2010/slicer">
              <sle:slicer xmlns:sle="http://schemas.microsoft.com/office/drawing/2010/slicer" name="Plant"/>
            </a:graphicData>
          </a:graphic>
        </xdr:graphicFrame>
      </mc:Choice>
      <mc:Fallback>
        <xdr:sp macro="" textlink="">
          <xdr:nvSpPr>
            <xdr:cNvPr id="0" name=""/>
            <xdr:cNvSpPr>
              <a:spLocks noTextEdit="1"/>
            </xdr:cNvSpPr>
          </xdr:nvSpPr>
          <xdr:spPr>
            <a:xfrm>
              <a:off x="1899737" y="804617"/>
              <a:ext cx="1828800" cy="2497637"/>
            </a:xfrm>
            <a:prstGeom prst="rect">
              <a:avLst/>
            </a:prstGeom>
            <a:solidFill>
              <a:prstClr val="white"/>
            </a:solidFill>
            <a:ln w="1">
              <a:solidFill>
                <a:prstClr val="green"/>
              </a:solidFill>
            </a:ln>
          </xdr:spPr>
          <xdr:txBody>
            <a:bodyPr vertOverflow="clip" horzOverflow="clip"/>
            <a:lstStyle/>
            <a:p>
              <a:r>
                <a:rPr lang="en-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0</xdr:colOff>
      <xdr:row>18</xdr:row>
      <xdr:rowOff>131670</xdr:rowOff>
    </xdr:from>
    <xdr:to>
      <xdr:col>2</xdr:col>
      <xdr:colOff>304800</xdr:colOff>
      <xdr:row>25</xdr:row>
      <xdr:rowOff>33364</xdr:rowOff>
    </xdr:to>
    <mc:AlternateContent xmlns:mc="http://schemas.openxmlformats.org/markup-compatibility/2006">
      <mc:Choice xmlns:a14="http://schemas.microsoft.com/office/drawing/2010/main" Requires="a14">
        <xdr:graphicFrame macro="">
          <xdr:nvGraphicFramePr>
            <xdr:cNvPr id="31" name="Region">
              <a:extLst>
                <a:ext uri="{FF2B5EF4-FFF2-40B4-BE49-F238E27FC236}">
                  <a16:creationId xmlns:a16="http://schemas.microsoft.com/office/drawing/2014/main" id="{4934784F-ED72-42C8-B1E1-21531BB452E6}"/>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dr:sp macro="" textlink="">
          <xdr:nvSpPr>
            <xdr:cNvPr id="0" name=""/>
            <xdr:cNvSpPr>
              <a:spLocks noTextEdit="1"/>
            </xdr:cNvSpPr>
          </xdr:nvSpPr>
          <xdr:spPr>
            <a:xfrm>
              <a:off x="0" y="3422125"/>
              <a:ext cx="1828800" cy="1194784"/>
            </a:xfrm>
            <a:prstGeom prst="rect">
              <a:avLst/>
            </a:prstGeom>
            <a:solidFill>
              <a:prstClr val="white"/>
            </a:solidFill>
            <a:ln w="1">
              <a:solidFill>
                <a:prstClr val="green"/>
              </a:solidFill>
            </a:ln>
          </xdr:spPr>
          <xdr:txBody>
            <a:bodyPr vertOverflow="clip" horzOverflow="clip"/>
            <a:lstStyle/>
            <a:p>
              <a:r>
                <a:rPr lang="en-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2</xdr:col>
      <xdr:colOff>407708</xdr:colOff>
      <xdr:row>18</xdr:row>
      <xdr:rowOff>137273</xdr:rowOff>
    </xdr:from>
    <xdr:to>
      <xdr:col>4</xdr:col>
      <xdr:colOff>712508</xdr:colOff>
      <xdr:row>25</xdr:row>
      <xdr:rowOff>38967</xdr:rowOff>
    </xdr:to>
    <mc:AlternateContent xmlns:mc="http://schemas.openxmlformats.org/markup-compatibility/2006">
      <mc:Choice xmlns:a14="http://schemas.microsoft.com/office/drawing/2010/main" Requires="a14">
        <xdr:graphicFrame macro="">
          <xdr:nvGraphicFramePr>
            <xdr:cNvPr id="32" name="PLAN / ACT">
              <a:extLst>
                <a:ext uri="{FF2B5EF4-FFF2-40B4-BE49-F238E27FC236}">
                  <a16:creationId xmlns:a16="http://schemas.microsoft.com/office/drawing/2014/main" id="{65B4212A-D6A0-4FD8-978B-DCE4910A8696}"/>
                </a:ext>
              </a:extLst>
            </xdr:cNvPr>
            <xdr:cNvGraphicFramePr/>
          </xdr:nvGraphicFramePr>
          <xdr:xfrm>
            <a:off x="0" y="0"/>
            <a:ext cx="0" cy="0"/>
          </xdr:xfrm>
          <a:graphic>
            <a:graphicData uri="http://schemas.microsoft.com/office/drawing/2010/slicer">
              <sle:slicer xmlns:sle="http://schemas.microsoft.com/office/drawing/2010/slicer" name="PLAN / ACT"/>
            </a:graphicData>
          </a:graphic>
        </xdr:graphicFrame>
      </mc:Choice>
      <mc:Fallback>
        <xdr:sp macro="" textlink="">
          <xdr:nvSpPr>
            <xdr:cNvPr id="0" name=""/>
            <xdr:cNvSpPr>
              <a:spLocks noTextEdit="1"/>
            </xdr:cNvSpPr>
          </xdr:nvSpPr>
          <xdr:spPr>
            <a:xfrm>
              <a:off x="1931708" y="3427728"/>
              <a:ext cx="1828800" cy="1194784"/>
            </a:xfrm>
            <a:prstGeom prst="rect">
              <a:avLst/>
            </a:prstGeom>
            <a:solidFill>
              <a:prstClr val="white"/>
            </a:solidFill>
            <a:ln w="1">
              <a:solidFill>
                <a:prstClr val="green"/>
              </a:solidFill>
            </a:ln>
          </xdr:spPr>
          <xdr:txBody>
            <a:bodyPr vertOverflow="clip" horzOverflow="clip"/>
            <a:lstStyle/>
            <a:p>
              <a:r>
                <a:rPr lang="en-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57727</xdr:colOff>
      <xdr:row>27</xdr:row>
      <xdr:rowOff>121229</xdr:rowOff>
    </xdr:from>
    <xdr:to>
      <xdr:col>2</xdr:col>
      <xdr:colOff>362527</xdr:colOff>
      <xdr:row>40</xdr:row>
      <xdr:rowOff>158750</xdr:rowOff>
    </xdr:to>
    <mc:AlternateContent xmlns:mc="http://schemas.openxmlformats.org/markup-compatibility/2006">
      <mc:Choice xmlns:a14="http://schemas.microsoft.com/office/drawing/2010/main" Requires="a14">
        <xdr:graphicFrame macro="">
          <xdr:nvGraphicFramePr>
            <xdr:cNvPr id="34" name="Company 1">
              <a:extLst>
                <a:ext uri="{FF2B5EF4-FFF2-40B4-BE49-F238E27FC236}">
                  <a16:creationId xmlns:a16="http://schemas.microsoft.com/office/drawing/2014/main" id="{D29F12DC-358D-4467-9F93-B1F94A47B88D}"/>
                </a:ext>
              </a:extLst>
            </xdr:cNvPr>
            <xdr:cNvGraphicFramePr/>
          </xdr:nvGraphicFramePr>
          <xdr:xfrm>
            <a:off x="0" y="0"/>
            <a:ext cx="0" cy="0"/>
          </xdr:xfrm>
          <a:graphic>
            <a:graphicData uri="http://schemas.microsoft.com/office/drawing/2010/slicer">
              <sle:slicer xmlns:sle="http://schemas.microsoft.com/office/drawing/2010/slicer" name="Company 1"/>
            </a:graphicData>
          </a:graphic>
        </xdr:graphicFrame>
      </mc:Choice>
      <mc:Fallback>
        <xdr:sp macro="" textlink="">
          <xdr:nvSpPr>
            <xdr:cNvPr id="0" name=""/>
            <xdr:cNvSpPr>
              <a:spLocks noTextEdit="1"/>
            </xdr:cNvSpPr>
          </xdr:nvSpPr>
          <xdr:spPr>
            <a:xfrm>
              <a:off x="57727" y="5120411"/>
              <a:ext cx="1828800" cy="2438975"/>
            </a:xfrm>
            <a:prstGeom prst="rect">
              <a:avLst/>
            </a:prstGeom>
            <a:solidFill>
              <a:prstClr val="white"/>
            </a:solidFill>
            <a:ln w="1">
              <a:solidFill>
                <a:prstClr val="green"/>
              </a:solidFill>
            </a:ln>
          </xdr:spPr>
          <xdr:txBody>
            <a:bodyPr vertOverflow="clip" horzOverflow="clip"/>
            <a:lstStyle/>
            <a:p>
              <a:r>
                <a:rPr lang="en-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56574</xdr:colOff>
      <xdr:row>41</xdr:row>
      <xdr:rowOff>104588</xdr:rowOff>
    </xdr:from>
    <xdr:to>
      <xdr:col>2</xdr:col>
      <xdr:colOff>361374</xdr:colOff>
      <xdr:row>48</xdr:row>
      <xdr:rowOff>127000</xdr:rowOff>
    </xdr:to>
    <mc:AlternateContent xmlns:mc="http://schemas.openxmlformats.org/markup-compatibility/2006">
      <mc:Choice xmlns:a14="http://schemas.microsoft.com/office/drawing/2010/main" Requires="a14">
        <xdr:graphicFrame macro="">
          <xdr:nvGraphicFramePr>
            <xdr:cNvPr id="35" name="Region 1">
              <a:extLst>
                <a:ext uri="{FF2B5EF4-FFF2-40B4-BE49-F238E27FC236}">
                  <a16:creationId xmlns:a16="http://schemas.microsoft.com/office/drawing/2014/main" id="{A8885DAE-4E0D-4744-B5B6-360273E4CCD5}"/>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dr:sp macro="" textlink="">
          <xdr:nvSpPr>
            <xdr:cNvPr id="0" name=""/>
            <xdr:cNvSpPr>
              <a:spLocks noTextEdit="1"/>
            </xdr:cNvSpPr>
          </xdr:nvSpPr>
          <xdr:spPr>
            <a:xfrm>
              <a:off x="56574" y="7689952"/>
              <a:ext cx="1828800" cy="1315503"/>
            </a:xfrm>
            <a:prstGeom prst="rect">
              <a:avLst/>
            </a:prstGeom>
            <a:solidFill>
              <a:prstClr val="white"/>
            </a:solidFill>
            <a:ln w="1">
              <a:solidFill>
                <a:prstClr val="green"/>
              </a:solidFill>
            </a:ln>
          </xdr:spPr>
          <xdr:txBody>
            <a:bodyPr vertOverflow="clip" horzOverflow="clip"/>
            <a:lstStyle/>
            <a:p>
              <a:r>
                <a:rPr lang="en-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2</xdr:col>
      <xdr:colOff>420255</xdr:colOff>
      <xdr:row>41</xdr:row>
      <xdr:rowOff>96696</xdr:rowOff>
    </xdr:from>
    <xdr:to>
      <xdr:col>4</xdr:col>
      <xdr:colOff>725055</xdr:colOff>
      <xdr:row>48</xdr:row>
      <xdr:rowOff>134471</xdr:rowOff>
    </xdr:to>
    <mc:AlternateContent xmlns:mc="http://schemas.openxmlformats.org/markup-compatibility/2006">
      <mc:Choice xmlns:a14="http://schemas.microsoft.com/office/drawing/2010/main" Requires="a14">
        <xdr:graphicFrame macro="">
          <xdr:nvGraphicFramePr>
            <xdr:cNvPr id="36" name="PLAN / ACT 1">
              <a:extLst>
                <a:ext uri="{FF2B5EF4-FFF2-40B4-BE49-F238E27FC236}">
                  <a16:creationId xmlns:a16="http://schemas.microsoft.com/office/drawing/2014/main" id="{5DF1CFBA-5BCD-4016-87B4-77979DE7CB5A}"/>
                </a:ext>
              </a:extLst>
            </xdr:cNvPr>
            <xdr:cNvGraphicFramePr/>
          </xdr:nvGraphicFramePr>
          <xdr:xfrm>
            <a:off x="0" y="0"/>
            <a:ext cx="0" cy="0"/>
          </xdr:xfrm>
          <a:graphic>
            <a:graphicData uri="http://schemas.microsoft.com/office/drawing/2010/slicer">
              <sle:slicer xmlns:sle="http://schemas.microsoft.com/office/drawing/2010/slicer" name="PLAN / ACT 1"/>
            </a:graphicData>
          </a:graphic>
        </xdr:graphicFrame>
      </mc:Choice>
      <mc:Fallback>
        <xdr:sp macro="" textlink="">
          <xdr:nvSpPr>
            <xdr:cNvPr id="0" name=""/>
            <xdr:cNvSpPr>
              <a:spLocks noTextEdit="1"/>
            </xdr:cNvSpPr>
          </xdr:nvSpPr>
          <xdr:spPr>
            <a:xfrm>
              <a:off x="1944255" y="7682060"/>
              <a:ext cx="1828800" cy="1330866"/>
            </a:xfrm>
            <a:prstGeom prst="rect">
              <a:avLst/>
            </a:prstGeom>
            <a:solidFill>
              <a:prstClr val="white"/>
            </a:solidFill>
            <a:ln w="1">
              <a:solidFill>
                <a:prstClr val="green"/>
              </a:solidFill>
            </a:ln>
          </xdr:spPr>
          <xdr:txBody>
            <a:bodyPr vertOverflow="clip" horzOverflow="clip"/>
            <a:lstStyle/>
            <a:p>
              <a:r>
                <a:rPr lang="en-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2</xdr:col>
      <xdr:colOff>440392</xdr:colOff>
      <xdr:row>27</xdr:row>
      <xdr:rowOff>115234</xdr:rowOff>
    </xdr:from>
    <xdr:to>
      <xdr:col>4</xdr:col>
      <xdr:colOff>745192</xdr:colOff>
      <xdr:row>40</xdr:row>
      <xdr:rowOff>162859</xdr:rowOff>
    </xdr:to>
    <mc:AlternateContent xmlns:mc="http://schemas.openxmlformats.org/markup-compatibility/2006">
      <mc:Choice xmlns:a14="http://schemas.microsoft.com/office/drawing/2010/main" Requires="a14">
        <xdr:graphicFrame macro="">
          <xdr:nvGraphicFramePr>
            <xdr:cNvPr id="37" name="Plant 1">
              <a:extLst>
                <a:ext uri="{FF2B5EF4-FFF2-40B4-BE49-F238E27FC236}">
                  <a16:creationId xmlns:a16="http://schemas.microsoft.com/office/drawing/2014/main" id="{F4CD6B6C-A467-4EE3-8074-F44DD817E5A6}"/>
                </a:ext>
              </a:extLst>
            </xdr:cNvPr>
            <xdr:cNvGraphicFramePr/>
          </xdr:nvGraphicFramePr>
          <xdr:xfrm>
            <a:off x="0" y="0"/>
            <a:ext cx="0" cy="0"/>
          </xdr:xfrm>
          <a:graphic>
            <a:graphicData uri="http://schemas.microsoft.com/office/drawing/2010/slicer">
              <sle:slicer xmlns:sle="http://schemas.microsoft.com/office/drawing/2010/slicer" name="Plant 1"/>
            </a:graphicData>
          </a:graphic>
        </xdr:graphicFrame>
      </mc:Choice>
      <mc:Fallback>
        <xdr:sp macro="" textlink="">
          <xdr:nvSpPr>
            <xdr:cNvPr id="0" name=""/>
            <xdr:cNvSpPr>
              <a:spLocks noTextEdit="1"/>
            </xdr:cNvSpPr>
          </xdr:nvSpPr>
          <xdr:spPr>
            <a:xfrm>
              <a:off x="1964392" y="5114416"/>
              <a:ext cx="1828800" cy="2449079"/>
            </a:xfrm>
            <a:prstGeom prst="rect">
              <a:avLst/>
            </a:prstGeom>
            <a:solidFill>
              <a:prstClr val="white"/>
            </a:solidFill>
            <a:ln w="1">
              <a:solidFill>
                <a:prstClr val="green"/>
              </a:solidFill>
            </a:ln>
          </xdr:spPr>
          <xdr:txBody>
            <a:bodyPr vertOverflow="clip" horzOverflow="clip"/>
            <a:lstStyle/>
            <a:p>
              <a:r>
                <a:rPr lang="en-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79375</xdr:colOff>
      <xdr:row>27</xdr:row>
      <xdr:rowOff>127000</xdr:rowOff>
    </xdr:from>
    <xdr:to>
      <xdr:col>20</xdr:col>
      <xdr:colOff>635000</xdr:colOff>
      <xdr:row>48</xdr:row>
      <xdr:rowOff>142875</xdr:rowOff>
    </xdr:to>
    <xdr:graphicFrame macro="">
      <xdr:nvGraphicFramePr>
        <xdr:cNvPr id="39" name="Diagramm 38">
          <a:extLst>
            <a:ext uri="{FF2B5EF4-FFF2-40B4-BE49-F238E27FC236}">
              <a16:creationId xmlns:a16="http://schemas.microsoft.com/office/drawing/2014/main" id="{508F8C4D-B998-4A57-9A40-3DD1336A2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450273</xdr:colOff>
      <xdr:row>2</xdr:row>
      <xdr:rowOff>103907</xdr:rowOff>
    </xdr:from>
    <xdr:to>
      <xdr:col>10</xdr:col>
      <xdr:colOff>1350817</xdr:colOff>
      <xdr:row>17</xdr:row>
      <xdr:rowOff>173181</xdr:rowOff>
    </xdr:to>
    <xdr:graphicFrame macro="">
      <xdr:nvGraphicFramePr>
        <xdr:cNvPr id="3" name="Diagramm 2">
          <a:extLst>
            <a:ext uri="{FF2B5EF4-FFF2-40B4-BE49-F238E27FC236}">
              <a16:creationId xmlns:a16="http://schemas.microsoft.com/office/drawing/2014/main" id="{27F3B11A-A984-43AA-974E-C6FDDFE1BE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519544</xdr:colOff>
      <xdr:row>1</xdr:row>
      <xdr:rowOff>48490</xdr:rowOff>
    </xdr:from>
    <xdr:to>
      <xdr:col>9</xdr:col>
      <xdr:colOff>138544</xdr:colOff>
      <xdr:row>20</xdr:row>
      <xdr:rowOff>138545</xdr:rowOff>
    </xdr:to>
    <xdr:graphicFrame macro="">
      <xdr:nvGraphicFramePr>
        <xdr:cNvPr id="2" name="Diagramm 1">
          <a:extLst>
            <a:ext uri="{FF2B5EF4-FFF2-40B4-BE49-F238E27FC236}">
              <a16:creationId xmlns:a16="http://schemas.microsoft.com/office/drawing/2014/main" id="{710CCC44-4CFC-4588-89F9-312A11107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ina" refreshedDate="44519.592670370374" createdVersion="7" refreshedVersion="7" minRefreshableVersion="3" recordCount="26" xr:uid="{F9F9059C-0C5C-456A-B1F6-A768157192ED}">
  <cacheSource type="worksheet">
    <worksheetSource ref="A3:P29" sheet="Umsatz PLAN ACT "/>
  </cacheSource>
  <cacheFields count="16">
    <cacheField name="Company" numFmtId="0">
      <sharedItems count="7">
        <s v="Stuttgart"/>
        <s v="Berlin"/>
        <s v="Hamburg"/>
        <s v="Philadelphia"/>
        <s v="Las Vegas"/>
        <s v="Shanghai"/>
        <s v="Shenzen"/>
      </sharedItems>
    </cacheField>
    <cacheField name="Plant" numFmtId="0">
      <sharedItems count="13">
        <s v="S-01"/>
        <s v="S-02"/>
        <s v="S-03"/>
        <s v="B-01"/>
        <s v="H-01"/>
        <s v="H-02"/>
        <s v="H-03"/>
        <s v="P-01"/>
        <s v="L-01"/>
        <s v="Sh-01"/>
        <s v="Sh-02"/>
        <s v="Sh-03"/>
        <s v="Sz-01"/>
      </sharedItems>
    </cacheField>
    <cacheField name="Region" numFmtId="0">
      <sharedItems count="3">
        <s v="Europe"/>
        <s v="Americas"/>
        <s v="Asia"/>
      </sharedItems>
    </cacheField>
    <cacheField name="PLAN / ACT" numFmtId="0">
      <sharedItems count="2">
        <s v="PLAN"/>
        <s v="ACT"/>
      </sharedItems>
    </cacheField>
    <cacheField name="Jan-22" numFmtId="1">
      <sharedItems containsSemiMixedTypes="0" containsString="0" containsNumber="1" containsInteger="1" minValue="20" maxValue="300"/>
    </cacheField>
    <cacheField name="Feb-22" numFmtId="1">
      <sharedItems containsSemiMixedTypes="0" containsString="0" containsNumber="1" minValue="20" maxValue="301.49999999999994"/>
    </cacheField>
    <cacheField name="Mar-22" numFmtId="1">
      <sharedItems containsSemiMixedTypes="0" containsString="0" containsNumber="1" minValue="20" maxValue="303.00749999999994"/>
    </cacheField>
    <cacheField name="Apr-22" numFmtId="1">
      <sharedItems containsSemiMixedTypes="0" containsString="0" containsNumber="1" minValue="20" maxValue="304.52253749999988"/>
    </cacheField>
    <cacheField name="May-22" numFmtId="1">
      <sharedItems containsSemiMixedTypes="0" containsString="0" containsNumber="1" minValue="20" maxValue="306.04515018749987"/>
    </cacheField>
    <cacheField name="Jun-22" numFmtId="1">
      <sharedItems containsSemiMixedTypes="0" containsString="0" containsNumber="1" minValue="10" maxValue="307.57537593843733"/>
    </cacheField>
    <cacheField name="Jul-22" numFmtId="1">
      <sharedItems containsSemiMixedTypes="0" containsString="0" containsNumber="1" minValue="10" maxValue="309.11325281812947"/>
    </cacheField>
    <cacheField name="Aug-22" numFmtId="1">
      <sharedItems containsSemiMixedTypes="0" containsString="0" containsNumber="1" minValue="0" maxValue="310.65881908222008"/>
    </cacheField>
    <cacheField name="Sep-22" numFmtId="1">
      <sharedItems containsSemiMixedTypes="0" containsString="0" containsNumber="1" minValue="0" maxValue="312.21211317763112"/>
    </cacheField>
    <cacheField name="Oct-22" numFmtId="1">
      <sharedItems containsSemiMixedTypes="0" containsString="0" containsNumber="1" minValue="0" maxValue="313.77317374351924"/>
    </cacheField>
    <cacheField name="Nov-22" numFmtId="1">
      <sharedItems containsSemiMixedTypes="0" containsString="0" containsNumber="1" minValue="0" maxValue="315.34203961223682"/>
    </cacheField>
    <cacheField name="Dec-22" numFmtId="1">
      <sharedItems containsSemiMixedTypes="0" containsString="0" containsNumber="1" minValue="0" maxValue="316.91874981029798"/>
    </cacheField>
  </cacheFields>
  <extLst>
    <ext xmlns:x14="http://schemas.microsoft.com/office/spreadsheetml/2009/9/main" uri="{725AE2AE-9491-48be-B2B4-4EB974FC3084}">
      <x14:pivotCacheDefinition pivotCacheId="1107393709"/>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ina" refreshedDate="44519.592670949074" createdVersion="7" refreshedVersion="7" minRefreshableVersion="3" recordCount="26" xr:uid="{444BD58A-C313-4769-B590-84D8D772E84B}">
  <cacheSource type="worksheet">
    <worksheetSource ref="A3:P29" sheet="FTE Reporting PLAN ACT"/>
  </cacheSource>
  <cacheFields count="16">
    <cacheField name="Company" numFmtId="0">
      <sharedItems count="7">
        <s v="Stuttgart"/>
        <s v="Berlin"/>
        <s v="Hamburg"/>
        <s v="Philadelphia"/>
        <s v="Las Vegas"/>
        <s v="Shanghai"/>
        <s v="Shenzen"/>
      </sharedItems>
    </cacheField>
    <cacheField name="Plant" numFmtId="0">
      <sharedItems count="13">
        <s v="S-01"/>
        <s v="S-02"/>
        <s v="S-03"/>
        <s v="B-01"/>
        <s v="H-01"/>
        <s v="H-02"/>
        <s v="H-03"/>
        <s v="P-01"/>
        <s v="L-01"/>
        <s v="Sh-01"/>
        <s v="Sh-02"/>
        <s v="Sh-03"/>
        <s v="Sz-01"/>
      </sharedItems>
    </cacheField>
    <cacheField name="Region" numFmtId="0">
      <sharedItems count="3">
        <s v="Europe"/>
        <s v="Americas"/>
        <s v="Asia"/>
      </sharedItems>
    </cacheField>
    <cacheField name="PLAN / ACT" numFmtId="0">
      <sharedItems count="2">
        <s v="PLAN"/>
        <s v="ACT"/>
      </sharedItems>
    </cacheField>
    <cacheField name="Jan-22" numFmtId="1">
      <sharedItems containsSemiMixedTypes="0" containsString="0" containsNumber="1" containsInteger="1" minValue="20" maxValue="1000"/>
    </cacheField>
    <cacheField name="Feb-22" numFmtId="1">
      <sharedItems containsSemiMixedTypes="0" containsString="0" containsNumber="1" minValue="19.8" maxValue="1001"/>
    </cacheField>
    <cacheField name="Mar-22" numFmtId="1">
      <sharedItems containsSemiMixedTypes="0" containsString="0" containsNumber="1" minValue="18" maxValue="1001"/>
    </cacheField>
    <cacheField name="Apr-22" numFmtId="1">
      <sharedItems containsSemiMixedTypes="0" containsString="0" containsNumber="1" minValue="15" maxValue="1002"/>
    </cacheField>
    <cacheField name="May-22" numFmtId="1">
      <sharedItems containsSemiMixedTypes="0" containsString="0" containsNumber="1" minValue="15" maxValue="1003"/>
    </cacheField>
    <cacheField name="Jun-22" numFmtId="1">
      <sharedItems containsSemiMixedTypes="0" containsString="0" containsNumber="1" minValue="15" maxValue="1003"/>
    </cacheField>
    <cacheField name="Jul-22" numFmtId="1">
      <sharedItems containsSemiMixedTypes="0" containsString="0" containsNumber="1" minValue="15" maxValue="1003"/>
    </cacheField>
    <cacheField name="Aug-22" numFmtId="1">
      <sharedItems containsSemiMixedTypes="0" containsString="0" containsNumber="1" minValue="0" maxValue="932.06534790698993"/>
    </cacheField>
    <cacheField name="Sep-22" numFmtId="1">
      <sharedItems containsSemiMixedTypes="0" containsString="0" containsNumber="1" minValue="0" maxValue="922.74469442791997"/>
    </cacheField>
    <cacheField name="Oct-22" numFmtId="1">
      <sharedItems containsSemiMixedTypes="0" containsString="0" containsNumber="1" minValue="0" maxValue="913.51724748364074"/>
    </cacheField>
    <cacheField name="Nov-22" numFmtId="1">
      <sharedItems containsSemiMixedTypes="0" containsString="0" containsNumber="1" minValue="0" maxValue="904.38207500880435"/>
    </cacheField>
    <cacheField name="Dec-22" numFmtId="1">
      <sharedItems containsSemiMixedTypes="0" containsString="0" containsNumber="1" minValue="0" maxValue="895.33825425871635"/>
    </cacheField>
  </cacheFields>
  <extLst>
    <ext xmlns:x14="http://schemas.microsoft.com/office/spreadsheetml/2009/9/main" uri="{725AE2AE-9491-48be-B2B4-4EB974FC3084}">
      <x14:pivotCacheDefinition pivotCacheId="43255900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
  <r>
    <x v="0"/>
    <x v="0"/>
    <x v="0"/>
    <x v="0"/>
    <n v="150"/>
    <n v="150.74999999999997"/>
    <n v="151.50374999999997"/>
    <n v="152.26126874999994"/>
    <n v="153.02257509374994"/>
    <n v="153.78768796921867"/>
    <n v="154.55662640906473"/>
    <n v="155.32940954111004"/>
    <n v="156.10605658881556"/>
    <n v="156.88658687175962"/>
    <n v="157.67101980611841"/>
    <n v="158.45937490514899"/>
  </r>
  <r>
    <x v="0"/>
    <x v="0"/>
    <x v="0"/>
    <x v="1"/>
    <n v="150"/>
    <n v="150"/>
    <n v="150"/>
    <n v="150"/>
    <n v="150"/>
    <n v="140"/>
    <n v="140"/>
    <n v="0"/>
    <n v="0"/>
    <n v="0"/>
    <n v="0"/>
    <n v="0"/>
  </r>
  <r>
    <x v="0"/>
    <x v="1"/>
    <x v="0"/>
    <x v="0"/>
    <n v="200"/>
    <n v="200.99999999999997"/>
    <n v="202.00499999999994"/>
    <n v="203.01502499999992"/>
    <n v="204.0301001249999"/>
    <n v="205.05025062562487"/>
    <n v="206.07550187875296"/>
    <n v="207.10587938814669"/>
    <n v="208.14140878508741"/>
    <n v="209.18211582901282"/>
    <n v="210.22802640815786"/>
    <n v="211.27916654019862"/>
  </r>
  <r>
    <x v="0"/>
    <x v="1"/>
    <x v="0"/>
    <x v="1"/>
    <n v="200"/>
    <n v="195"/>
    <n v="195"/>
    <n v="190"/>
    <n v="190"/>
    <n v="180"/>
    <n v="180"/>
    <n v="0"/>
    <n v="0"/>
    <n v="0"/>
    <n v="0"/>
    <n v="0"/>
  </r>
  <r>
    <x v="0"/>
    <x v="2"/>
    <x v="0"/>
    <x v="0"/>
    <n v="250"/>
    <n v="251.24999999999997"/>
    <n v="252.50624999999994"/>
    <n v="253.7687812499999"/>
    <n v="255.03762515624987"/>
    <n v="256.31281328203107"/>
    <n v="257.59437734844118"/>
    <n v="258.88234923518337"/>
    <n v="260.17676098135928"/>
    <n v="261.47764478626607"/>
    <n v="262.78503301019737"/>
    <n v="264.0989581752483"/>
  </r>
  <r>
    <x v="0"/>
    <x v="2"/>
    <x v="0"/>
    <x v="1"/>
    <n v="250"/>
    <n v="250"/>
    <n v="250"/>
    <n v="250"/>
    <n v="250"/>
    <n v="230"/>
    <n v="230"/>
    <n v="0"/>
    <n v="0"/>
    <n v="0"/>
    <n v="0"/>
    <n v="0"/>
  </r>
  <r>
    <x v="1"/>
    <x v="3"/>
    <x v="0"/>
    <x v="0"/>
    <n v="300"/>
    <n v="301.49999999999994"/>
    <n v="303.00749999999994"/>
    <n v="304.52253749999988"/>
    <n v="306.04515018749987"/>
    <n v="307.57537593843733"/>
    <n v="309.11325281812947"/>
    <n v="310.65881908222008"/>
    <n v="312.21211317763112"/>
    <n v="313.77317374351924"/>
    <n v="315.34203961223682"/>
    <n v="316.91874981029798"/>
  </r>
  <r>
    <x v="1"/>
    <x v="3"/>
    <x v="0"/>
    <x v="1"/>
    <n v="300"/>
    <n v="300"/>
    <n v="300"/>
    <n v="300"/>
    <n v="300"/>
    <n v="290"/>
    <n v="290"/>
    <n v="0"/>
    <n v="0"/>
    <n v="0"/>
    <n v="0"/>
    <n v="0"/>
  </r>
  <r>
    <x v="2"/>
    <x v="4"/>
    <x v="0"/>
    <x v="0"/>
    <n v="300"/>
    <n v="301.49999999999994"/>
    <n v="303.00749999999994"/>
    <n v="304.52253749999988"/>
    <n v="306.04515018749987"/>
    <n v="307.57537593843733"/>
    <n v="309.11325281812947"/>
    <n v="310.65881908222008"/>
    <n v="312.21211317763112"/>
    <n v="313.77317374351924"/>
    <n v="315.34203961223682"/>
    <n v="316.91874981029798"/>
  </r>
  <r>
    <x v="2"/>
    <x v="4"/>
    <x v="0"/>
    <x v="1"/>
    <n v="300"/>
    <n v="290"/>
    <n v="290"/>
    <n v="280"/>
    <n v="280"/>
    <n v="270"/>
    <n v="270"/>
    <n v="0"/>
    <n v="0"/>
    <n v="0"/>
    <n v="0"/>
    <n v="0"/>
  </r>
  <r>
    <x v="2"/>
    <x v="5"/>
    <x v="0"/>
    <x v="0"/>
    <n v="20"/>
    <n v="20.099999999999998"/>
    <n v="20.200499999999995"/>
    <n v="20.301502499999991"/>
    <n v="20.40301001249999"/>
    <n v="20.505025062562488"/>
    <n v="20.607550187875297"/>
    <n v="20.710587938814673"/>
    <n v="20.814140878508745"/>
    <n v="20.918211582901286"/>
    <n v="21.02280264081579"/>
    <n v="21.127916654019867"/>
  </r>
  <r>
    <x v="2"/>
    <x v="5"/>
    <x v="0"/>
    <x v="1"/>
    <n v="20"/>
    <n v="20"/>
    <n v="20"/>
    <n v="20"/>
    <n v="20"/>
    <n v="10"/>
    <n v="10"/>
    <n v="0"/>
    <n v="0"/>
    <n v="0"/>
    <n v="0"/>
    <n v="0"/>
  </r>
  <r>
    <x v="2"/>
    <x v="6"/>
    <x v="0"/>
    <x v="0"/>
    <n v="300"/>
    <n v="301.49999999999994"/>
    <n v="303.00749999999994"/>
    <n v="304.52253749999988"/>
    <n v="306.04515018749987"/>
    <n v="307.57537593843733"/>
    <n v="309.11325281812947"/>
    <n v="310.65881908222008"/>
    <n v="312.21211317763112"/>
    <n v="313.77317374351924"/>
    <n v="315.34203961223682"/>
    <n v="316.91874981029798"/>
  </r>
  <r>
    <x v="2"/>
    <x v="6"/>
    <x v="0"/>
    <x v="1"/>
    <n v="300"/>
    <n v="300"/>
    <n v="300"/>
    <n v="300"/>
    <n v="300"/>
    <n v="280"/>
    <n v="280"/>
    <n v="0"/>
    <n v="0"/>
    <n v="0"/>
    <n v="0"/>
    <n v="0"/>
  </r>
  <r>
    <x v="3"/>
    <x v="7"/>
    <x v="1"/>
    <x v="0"/>
    <n v="250"/>
    <n v="251.24999999999997"/>
    <n v="252.50624999999994"/>
    <n v="253.7687812499999"/>
    <n v="255.03762515624987"/>
    <n v="256.31281328203107"/>
    <n v="257.59437734844118"/>
    <n v="258.88234923518337"/>
    <n v="260.17676098135928"/>
    <n v="261.47764478626607"/>
    <n v="262.78503301019737"/>
    <n v="264.0989581752483"/>
  </r>
  <r>
    <x v="3"/>
    <x v="7"/>
    <x v="1"/>
    <x v="1"/>
    <n v="250"/>
    <n v="250"/>
    <n v="250"/>
    <n v="250"/>
    <n v="250"/>
    <n v="240"/>
    <n v="240"/>
    <n v="0"/>
    <n v="0"/>
    <n v="0"/>
    <n v="0"/>
    <n v="0"/>
  </r>
  <r>
    <x v="4"/>
    <x v="8"/>
    <x v="1"/>
    <x v="0"/>
    <n v="250"/>
    <n v="251.24999999999997"/>
    <n v="252.50624999999994"/>
    <n v="253.7687812499999"/>
    <n v="255.03762515624987"/>
    <n v="256.31281328203107"/>
    <n v="257.59437734844118"/>
    <n v="258.88234923518337"/>
    <n v="260.17676098135928"/>
    <n v="261.47764478626607"/>
    <n v="262.78503301019737"/>
    <n v="264.0989581752483"/>
  </r>
  <r>
    <x v="4"/>
    <x v="8"/>
    <x v="1"/>
    <x v="1"/>
    <n v="250"/>
    <n v="250"/>
    <n v="250"/>
    <n v="250"/>
    <n v="250"/>
    <n v="240"/>
    <n v="240"/>
    <n v="0"/>
    <n v="0"/>
    <n v="0"/>
    <n v="0"/>
    <n v="0"/>
  </r>
  <r>
    <x v="5"/>
    <x v="9"/>
    <x v="2"/>
    <x v="0"/>
    <n v="100"/>
    <n v="100.49999999999999"/>
    <n v="101.00249999999997"/>
    <n v="101.50751249999996"/>
    <n v="102.01505006249995"/>
    <n v="102.52512531281243"/>
    <n v="103.03775093937648"/>
    <n v="103.55293969407334"/>
    <n v="104.0707043925437"/>
    <n v="104.59105791450641"/>
    <n v="105.11401320407893"/>
    <n v="105.63958327009931"/>
  </r>
  <r>
    <x v="5"/>
    <x v="9"/>
    <x v="2"/>
    <x v="1"/>
    <n v="100"/>
    <n v="100"/>
    <n v="100"/>
    <n v="100"/>
    <n v="100"/>
    <n v="90"/>
    <n v="90"/>
    <n v="0"/>
    <n v="0"/>
    <n v="0"/>
    <n v="0"/>
    <n v="0"/>
  </r>
  <r>
    <x v="5"/>
    <x v="10"/>
    <x v="2"/>
    <x v="0"/>
    <n v="100"/>
    <n v="100.49999999999999"/>
    <n v="101.00249999999997"/>
    <n v="101.50751249999996"/>
    <n v="102.01505006249995"/>
    <n v="102.52512531281243"/>
    <n v="103.03775093937648"/>
    <n v="103.55293969407334"/>
    <n v="104.0707043925437"/>
    <n v="104.59105791450641"/>
    <n v="105.11401320407893"/>
    <n v="105.63958327009931"/>
  </r>
  <r>
    <x v="5"/>
    <x v="10"/>
    <x v="2"/>
    <x v="1"/>
    <n v="100"/>
    <n v="100"/>
    <n v="100"/>
    <n v="105"/>
    <n v="105"/>
    <n v="90"/>
    <n v="90"/>
    <n v="0"/>
    <n v="0"/>
    <n v="0"/>
    <n v="0"/>
    <n v="0"/>
  </r>
  <r>
    <x v="5"/>
    <x v="11"/>
    <x v="2"/>
    <x v="0"/>
    <n v="100"/>
    <n v="100.49999999999999"/>
    <n v="101.00249999999997"/>
    <n v="101.50751249999996"/>
    <n v="102.01505006249995"/>
    <n v="102.52512531281243"/>
    <n v="103.03775093937648"/>
    <n v="103.55293969407334"/>
    <n v="104.0707043925437"/>
    <n v="104.59105791450641"/>
    <n v="105.11401320407893"/>
    <n v="105.63958327009931"/>
  </r>
  <r>
    <x v="5"/>
    <x v="11"/>
    <x v="2"/>
    <x v="1"/>
    <n v="100"/>
    <n v="100"/>
    <n v="100"/>
    <n v="110"/>
    <n v="115"/>
    <n v="90"/>
    <n v="90"/>
    <n v="0"/>
    <n v="0"/>
    <n v="0"/>
    <n v="0"/>
    <n v="0"/>
  </r>
  <r>
    <x v="6"/>
    <x v="12"/>
    <x v="2"/>
    <x v="0"/>
    <n v="100"/>
    <n v="100.49999999999999"/>
    <n v="101.00249999999997"/>
    <n v="101.50751249999996"/>
    <n v="102.01505006249995"/>
    <n v="102.52512531281243"/>
    <n v="103.03775093937648"/>
    <n v="103.55293969407334"/>
    <n v="104.0707043925437"/>
    <n v="104.59105791450641"/>
    <n v="105.11401320407893"/>
    <n v="105.63958327009931"/>
  </r>
  <r>
    <x v="6"/>
    <x v="12"/>
    <x v="2"/>
    <x v="1"/>
    <n v="100"/>
    <n v="100"/>
    <n v="100"/>
    <n v="100"/>
    <n v="100"/>
    <n v="90"/>
    <n v="90"/>
    <n v="0"/>
    <n v="0"/>
    <n v="0"/>
    <n v="0"/>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
  <r>
    <x v="0"/>
    <x v="0"/>
    <x v="0"/>
    <x v="0"/>
    <n v="1000"/>
    <n v="990"/>
    <n v="980.1"/>
    <n v="970.29899999999998"/>
    <n v="960.59600999999998"/>
    <n v="950.99004989999992"/>
    <n v="941.48014940099995"/>
    <n v="932.06534790698993"/>
    <n v="922.74469442791997"/>
    <n v="913.51724748364074"/>
    <n v="904.38207500880435"/>
    <n v="895.33825425871635"/>
  </r>
  <r>
    <x v="0"/>
    <x v="0"/>
    <x v="0"/>
    <x v="1"/>
    <n v="1000"/>
    <n v="1001"/>
    <n v="1001"/>
    <n v="1002"/>
    <n v="1003"/>
    <n v="1003"/>
    <n v="1003"/>
    <n v="0"/>
    <n v="0"/>
    <n v="0"/>
    <n v="0"/>
    <n v="0"/>
  </r>
  <r>
    <x v="0"/>
    <x v="1"/>
    <x v="0"/>
    <x v="0"/>
    <n v="50"/>
    <n v="49.5"/>
    <n v="49.005000000000003"/>
    <n v="48.514949999999999"/>
    <n v="48.0298005"/>
    <n v="47.549502494999999"/>
    <n v="47.074007470049999"/>
    <n v="46.603267395349498"/>
    <n v="46.137234721396005"/>
    <n v="45.675862374182046"/>
    <n v="45.219103750440226"/>
    <n v="44.76691271293582"/>
  </r>
  <r>
    <x v="0"/>
    <x v="1"/>
    <x v="0"/>
    <x v="1"/>
    <n v="50"/>
    <n v="50"/>
    <n v="51"/>
    <n v="52"/>
    <n v="53"/>
    <n v="53"/>
    <n v="53"/>
    <n v="0"/>
    <n v="0"/>
    <n v="0"/>
    <n v="0"/>
    <n v="0"/>
  </r>
  <r>
    <x v="0"/>
    <x v="2"/>
    <x v="0"/>
    <x v="0"/>
    <n v="50"/>
    <n v="49.5"/>
    <n v="49.005000000000003"/>
    <n v="48.514949999999999"/>
    <n v="48.0298005"/>
    <n v="47.549502494999999"/>
    <n v="47.074007470049999"/>
    <n v="46.603267395349498"/>
    <n v="46.137234721396005"/>
    <n v="45.675862374182046"/>
    <n v="45.219103750440226"/>
    <n v="44.76691271293582"/>
  </r>
  <r>
    <x v="0"/>
    <x v="2"/>
    <x v="0"/>
    <x v="1"/>
    <n v="50"/>
    <n v="50"/>
    <n v="49"/>
    <n v="49"/>
    <n v="48"/>
    <n v="48"/>
    <n v="48"/>
    <n v="0"/>
    <n v="0"/>
    <n v="0"/>
    <n v="0"/>
    <n v="0"/>
  </r>
  <r>
    <x v="1"/>
    <x v="3"/>
    <x v="0"/>
    <x v="0"/>
    <n v="500"/>
    <n v="495"/>
    <n v="490.05"/>
    <n v="485.14949999999999"/>
    <n v="480.29800499999999"/>
    <n v="475.49502494999996"/>
    <n v="470.74007470049997"/>
    <n v="466.03267395349496"/>
    <n v="461.37234721395998"/>
    <n v="456.75862374182037"/>
    <n v="452.19103750440217"/>
    <n v="447.66912712935817"/>
  </r>
  <r>
    <x v="1"/>
    <x v="3"/>
    <x v="0"/>
    <x v="1"/>
    <n v="500"/>
    <n v="502"/>
    <n v="503"/>
    <n v="503"/>
    <n v="503"/>
    <n v="503"/>
    <n v="503"/>
    <n v="0"/>
    <n v="0"/>
    <n v="0"/>
    <n v="0"/>
    <n v="0"/>
  </r>
  <r>
    <x v="2"/>
    <x v="4"/>
    <x v="0"/>
    <x v="0"/>
    <n v="200"/>
    <n v="198"/>
    <n v="196.02"/>
    <n v="194.0598"/>
    <n v="192.119202"/>
    <n v="190.19800997999999"/>
    <n v="188.2960298802"/>
    <n v="186.41306958139799"/>
    <n v="184.54893888558402"/>
    <n v="182.70344949672818"/>
    <n v="180.8764150017609"/>
    <n v="179.06765085174328"/>
  </r>
  <r>
    <x v="2"/>
    <x v="4"/>
    <x v="0"/>
    <x v="1"/>
    <n v="200"/>
    <n v="200"/>
    <n v="200"/>
    <n v="199"/>
    <n v="198"/>
    <n v="198"/>
    <n v="198"/>
    <n v="0"/>
    <n v="0"/>
    <n v="0"/>
    <n v="0"/>
    <n v="0"/>
  </r>
  <r>
    <x v="2"/>
    <x v="5"/>
    <x v="0"/>
    <x v="0"/>
    <n v="20"/>
    <n v="19.8"/>
    <n v="19.602"/>
    <n v="19.40598"/>
    <n v="19.211920199999998"/>
    <n v="19.019800997999997"/>
    <n v="18.829602988019996"/>
    <n v="18.641306958139797"/>
    <n v="18.454893888558399"/>
    <n v="18.270344949672815"/>
    <n v="18.087641500176087"/>
    <n v="17.906765085174325"/>
  </r>
  <r>
    <x v="2"/>
    <x v="5"/>
    <x v="0"/>
    <x v="1"/>
    <n v="20"/>
    <n v="20"/>
    <n v="19"/>
    <n v="18"/>
    <n v="17"/>
    <n v="17"/>
    <n v="17"/>
    <n v="0"/>
    <n v="0"/>
    <n v="0"/>
    <n v="0"/>
    <n v="0"/>
  </r>
  <r>
    <x v="2"/>
    <x v="6"/>
    <x v="0"/>
    <x v="0"/>
    <n v="20"/>
    <n v="19.8"/>
    <n v="19.602"/>
    <n v="19.40598"/>
    <n v="19.211920199999998"/>
    <n v="19.019800997999997"/>
    <n v="18.829602988019996"/>
    <n v="18.641306958139797"/>
    <n v="18.454893888558399"/>
    <n v="18.270344949672815"/>
    <n v="18.087641500176087"/>
    <n v="17.906765085174325"/>
  </r>
  <r>
    <x v="2"/>
    <x v="6"/>
    <x v="0"/>
    <x v="1"/>
    <n v="20"/>
    <n v="20"/>
    <n v="18"/>
    <n v="15"/>
    <n v="15"/>
    <n v="15"/>
    <n v="15"/>
    <n v="0"/>
    <n v="0"/>
    <n v="0"/>
    <n v="0"/>
    <n v="0"/>
  </r>
  <r>
    <x v="3"/>
    <x v="7"/>
    <x v="1"/>
    <x v="0"/>
    <n v="150"/>
    <n v="148.5"/>
    <n v="147.01499999999999"/>
    <n v="145.54485"/>
    <n v="144.08940150000001"/>
    <n v="142.64850748500001"/>
    <n v="141.22202241015"/>
    <n v="139.8098021860485"/>
    <n v="138.41170416418802"/>
    <n v="137.02758712254615"/>
    <n v="135.65731125132069"/>
    <n v="134.30073813880747"/>
  </r>
  <r>
    <x v="3"/>
    <x v="7"/>
    <x v="1"/>
    <x v="1"/>
    <n v="150"/>
    <n v="150"/>
    <n v="155"/>
    <n v="155"/>
    <n v="155"/>
    <n v="155"/>
    <n v="155"/>
    <n v="0"/>
    <n v="0"/>
    <n v="0"/>
    <n v="0"/>
    <n v="0"/>
  </r>
  <r>
    <x v="4"/>
    <x v="8"/>
    <x v="1"/>
    <x v="0"/>
    <n v="20"/>
    <n v="19.8"/>
    <n v="19.602"/>
    <n v="19.40598"/>
    <n v="19.211920199999998"/>
    <n v="19.019800997999997"/>
    <n v="18.829602988019996"/>
    <n v="18.641306958139797"/>
    <n v="18.454893888558399"/>
    <n v="18.270344949672815"/>
    <n v="18.087641500176087"/>
    <n v="17.906765085174325"/>
  </r>
  <r>
    <x v="4"/>
    <x v="8"/>
    <x v="1"/>
    <x v="1"/>
    <n v="20"/>
    <n v="20"/>
    <n v="21"/>
    <n v="21"/>
    <n v="22"/>
    <n v="22"/>
    <n v="22"/>
    <n v="0"/>
    <n v="0"/>
    <n v="0"/>
    <n v="0"/>
    <n v="0"/>
  </r>
  <r>
    <x v="5"/>
    <x v="9"/>
    <x v="2"/>
    <x v="0"/>
    <n v="150"/>
    <n v="151.5"/>
    <n v="153.01500000000001"/>
    <n v="154.54515000000001"/>
    <n v="156.09060150000002"/>
    <n v="157.65150751500002"/>
    <n v="159.22802259015003"/>
    <n v="160.82030281605154"/>
    <n v="162.42850584421205"/>
    <n v="164.05279090265418"/>
    <n v="165.69331881168071"/>
    <n v="167.35025199979751"/>
  </r>
  <r>
    <x v="5"/>
    <x v="9"/>
    <x v="2"/>
    <x v="1"/>
    <n v="150"/>
    <n v="150"/>
    <n v="160"/>
    <n v="170"/>
    <n v="175"/>
    <n v="175"/>
    <n v="175"/>
    <n v="0"/>
    <n v="0"/>
    <n v="0"/>
    <n v="0"/>
    <n v="0"/>
  </r>
  <r>
    <x v="5"/>
    <x v="10"/>
    <x v="2"/>
    <x v="0"/>
    <n v="30"/>
    <n v="30.3"/>
    <n v="30.603000000000002"/>
    <n v="30.909030000000001"/>
    <n v="31.218120300000002"/>
    <n v="31.530301503000004"/>
    <n v="31.845604518030004"/>
    <n v="32.164060563210306"/>
    <n v="32.485701168842411"/>
    <n v="32.810558180530833"/>
    <n v="33.138663762336144"/>
    <n v="33.470050399959504"/>
  </r>
  <r>
    <x v="5"/>
    <x v="10"/>
    <x v="2"/>
    <x v="1"/>
    <n v="30"/>
    <n v="30"/>
    <n v="32"/>
    <n v="32"/>
    <n v="33"/>
    <n v="33"/>
    <n v="33"/>
    <n v="0"/>
    <n v="0"/>
    <n v="0"/>
    <n v="0"/>
    <n v="0"/>
  </r>
  <r>
    <x v="5"/>
    <x v="11"/>
    <x v="2"/>
    <x v="0"/>
    <n v="50"/>
    <n v="49.5"/>
    <n v="55"/>
    <n v="55"/>
    <n v="55"/>
    <n v="56"/>
    <n v="57"/>
    <n v="58"/>
    <n v="59"/>
    <n v="59"/>
    <n v="59"/>
    <n v="59"/>
  </r>
  <r>
    <x v="5"/>
    <x v="11"/>
    <x v="2"/>
    <x v="1"/>
    <n v="50"/>
    <n v="55"/>
    <n v="55"/>
    <n v="55"/>
    <n v="55"/>
    <n v="55"/>
    <n v="55"/>
    <n v="0"/>
    <n v="0"/>
    <n v="0"/>
    <n v="0"/>
    <n v="0"/>
  </r>
  <r>
    <x v="6"/>
    <x v="12"/>
    <x v="2"/>
    <x v="0"/>
    <n v="250"/>
    <n v="252.5"/>
    <n v="255.02500000000001"/>
    <n v="257.57524999999998"/>
    <n v="260.1510025"/>
    <n v="262.75251252499999"/>
    <n v="265.38003765024996"/>
    <n v="268.03383802675245"/>
    <n v="270.71417640701998"/>
    <n v="273.42131817109021"/>
    <n v="276.15553135280112"/>
    <n v="278.91708666632911"/>
  </r>
  <r>
    <x v="6"/>
    <x v="12"/>
    <x v="2"/>
    <x v="1"/>
    <n v="250"/>
    <n v="251"/>
    <n v="253"/>
    <n v="255"/>
    <n v="260"/>
    <n v="260"/>
    <n v="26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28B7798-32BA-4768-8332-6A2DC2BDFE49}" name="PivotTable4" cacheId="179" dataOnRows="1" applyNumberFormats="0" applyBorderFormats="0" applyFontFormats="0" applyPatternFormats="0" applyAlignmentFormats="0" applyWidthHeightFormats="1" dataCaption="Werte" updatedVersion="7" minRefreshableVersion="3" useAutoFormatting="1" itemPrintTitles="1" createdVersion="7" indent="0" outline="1" outlineData="1" multipleFieldFilters="0" chartFormat="43">
  <location ref="A3:D29" firstHeaderRow="1" firstDataRow="2" firstDataCol="1"/>
  <pivotFields count="16">
    <pivotField axis="axisRow" multipleItemSelectionAllowed="1" showAll="0">
      <items count="8">
        <item h="1" x="1"/>
        <item h="1" x="2"/>
        <item h="1" x="4"/>
        <item h="1" x="3"/>
        <item x="5"/>
        <item h="1" x="6"/>
        <item h="1" x="0"/>
        <item t="default"/>
      </items>
    </pivotField>
    <pivotField showAll="0">
      <items count="14">
        <item x="3"/>
        <item x="4"/>
        <item x="5"/>
        <item x="6"/>
        <item x="8"/>
        <item x="7"/>
        <item x="0"/>
        <item x="1"/>
        <item x="2"/>
        <item x="9"/>
        <item x="10"/>
        <item x="11"/>
        <item x="12"/>
        <item t="default"/>
      </items>
    </pivotField>
    <pivotField showAll="0">
      <items count="4">
        <item h="1" x="1"/>
        <item x="2"/>
        <item h="1" x="0"/>
        <item t="default"/>
      </items>
    </pivotField>
    <pivotField axis="axisCol" showAll="0">
      <items count="3">
        <item x="1"/>
        <item x="0"/>
        <item t="default"/>
      </items>
    </pivotField>
    <pivotField dataField="1" numFmtId="1" showAll="0"/>
    <pivotField dataField="1" numFmtId="1" showAll="0"/>
    <pivotField dataField="1" numFmtId="1" showAll="0"/>
    <pivotField dataField="1" numFmtId="1" showAll="0"/>
    <pivotField dataField="1" numFmtId="1" showAll="0"/>
    <pivotField dataField="1" numFmtId="1" showAll="0"/>
    <pivotField dataField="1" numFmtId="1" showAll="0"/>
    <pivotField dataField="1" numFmtId="1" showAll="0"/>
    <pivotField dataField="1" numFmtId="1" showAll="0"/>
    <pivotField dataField="1" numFmtId="1" showAll="0"/>
    <pivotField dataField="1" numFmtId="1" showAll="0"/>
    <pivotField dataField="1" numFmtId="1" showAll="0"/>
  </pivotFields>
  <rowFields count="2">
    <field x="0"/>
    <field x="-2"/>
  </rowFields>
  <rowItems count="25">
    <i>
      <x v="4"/>
    </i>
    <i r="1">
      <x/>
    </i>
    <i r="1" i="1">
      <x v="1"/>
    </i>
    <i r="1" i="2">
      <x v="2"/>
    </i>
    <i r="1" i="3">
      <x v="3"/>
    </i>
    <i r="1" i="4">
      <x v="4"/>
    </i>
    <i r="1" i="5">
      <x v="5"/>
    </i>
    <i r="1" i="6">
      <x v="6"/>
    </i>
    <i r="1" i="7">
      <x v="7"/>
    </i>
    <i r="1" i="8">
      <x v="8"/>
    </i>
    <i r="1" i="9">
      <x v="9"/>
    </i>
    <i r="1" i="10">
      <x v="10"/>
    </i>
    <i r="1" i="11">
      <x v="11"/>
    </i>
    <i t="grand">
      <x/>
    </i>
    <i t="grand" i="1">
      <x/>
    </i>
    <i t="grand" i="2">
      <x/>
    </i>
    <i t="grand" i="3">
      <x/>
    </i>
    <i t="grand" i="4">
      <x/>
    </i>
    <i t="grand" i="5">
      <x/>
    </i>
    <i t="grand" i="6">
      <x/>
    </i>
    <i t="grand" i="7">
      <x/>
    </i>
    <i t="grand" i="8">
      <x/>
    </i>
    <i t="grand" i="9">
      <x/>
    </i>
    <i t="grand" i="10">
      <x/>
    </i>
    <i t="grand" i="11">
      <x/>
    </i>
  </rowItems>
  <colFields count="1">
    <field x="3"/>
  </colFields>
  <colItems count="3">
    <i>
      <x/>
    </i>
    <i>
      <x v="1"/>
    </i>
    <i t="grand">
      <x/>
    </i>
  </colItems>
  <dataFields count="12">
    <dataField name=" Jan-22" fld="4" baseField="3" baseItem="0"/>
    <dataField name=" Feb-22" fld="5" baseField="3" baseItem="1" numFmtId="3"/>
    <dataField name=" Mar-22" fld="6" baseField="3" baseItem="0" numFmtId="3"/>
    <dataField name=" Apr-22" fld="7" baseField="3" baseItem="1" numFmtId="3"/>
    <dataField name=" May-22" fld="8" baseField="3" baseItem="0" numFmtId="3"/>
    <dataField name=" Jun-22" fld="9" baseField="0" baseItem="3" numFmtId="3"/>
    <dataField name=" Jul-22" fld="10" baseField="3" baseItem="0" numFmtId="3"/>
    <dataField name=" Aug-22" fld="11" baseField="0" baseItem="5" numFmtId="3"/>
    <dataField name=" Sep-22" fld="12" baseField="3" baseItem="1" numFmtId="3"/>
    <dataField name=" Oct-22" fld="13" baseField="0" baseItem="5" numFmtId="3"/>
    <dataField name=" Nov-22" fld="14" baseField="3" baseItem="1" numFmtId="3"/>
    <dataField name=" Dec-22" fld="15" baseField="0" baseItem="4" numFmtId="3"/>
  </dataFields>
  <chartFormats count="6">
    <chartFormat chart="19" format="114" series="1">
      <pivotArea type="data" outline="0" fieldPosition="0">
        <references count="2">
          <reference field="4294967294" count="1" selected="0">
            <x v="0"/>
          </reference>
          <reference field="3" count="1" selected="0">
            <x v="0"/>
          </reference>
        </references>
      </pivotArea>
    </chartFormat>
    <chartFormat chart="19" format="115" series="1">
      <pivotArea type="data" outline="0" fieldPosition="0">
        <references count="2">
          <reference field="4294967294" count="1" selected="0">
            <x v="0"/>
          </reference>
          <reference field="3" count="1" selected="0">
            <x v="1"/>
          </reference>
        </references>
      </pivotArea>
    </chartFormat>
    <chartFormat chart="19" format="116" series="1">
      <pivotArea type="data" outline="0" fieldPosition="0">
        <references count="1">
          <reference field="4294967294" count="1" selected="0">
            <x v="0"/>
          </reference>
        </references>
      </pivotArea>
    </chartFormat>
    <chartFormat chart="1" format="116" series="1">
      <pivotArea type="data" outline="0" fieldPosition="0">
        <references count="2">
          <reference field="4294967294" count="1" selected="0">
            <x v="0"/>
          </reference>
          <reference field="3" count="1" selected="0">
            <x v="0"/>
          </reference>
        </references>
      </pivotArea>
    </chartFormat>
    <chartFormat chart="1" format="117" series="1">
      <pivotArea type="data" outline="0" fieldPosition="0">
        <references count="2">
          <reference field="4294967294" count="1" selected="0">
            <x v="0"/>
          </reference>
          <reference field="3" count="1" selected="0">
            <x v="1"/>
          </reference>
        </references>
      </pivotArea>
    </chartFormat>
    <chartFormat chart="1" format="118"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BD583C0-4048-4F53-9DE6-0B469D5926DD}" name="PivotTable14" cacheId="173" dataOnRows="1" applyNumberFormats="0" applyBorderFormats="0" applyFontFormats="0" applyPatternFormats="0" applyAlignmentFormats="0" applyWidthHeightFormats="1" dataCaption="Werte" updatedVersion="7" minRefreshableVersion="3" useAutoFormatting="1" itemPrintTitles="1" createdVersion="7" indent="0" outline="1" outlineData="1" multipleFieldFilters="0" chartFormat="32">
  <location ref="A3:D29" firstHeaderRow="1" firstDataRow="2" firstDataCol="1"/>
  <pivotFields count="16">
    <pivotField axis="axisRow" showAll="0">
      <items count="8">
        <item h="1" x="1"/>
        <item h="1" x="2"/>
        <item h="1" x="4"/>
        <item h="1" x="3"/>
        <item x="5"/>
        <item h="1" x="6"/>
        <item h="1" x="0"/>
        <item t="default"/>
      </items>
    </pivotField>
    <pivotField showAll="0">
      <items count="14">
        <item h="1" x="3"/>
        <item h="1" x="4"/>
        <item h="1" x="5"/>
        <item h="1" x="6"/>
        <item h="1" x="8"/>
        <item h="1" x="7"/>
        <item h="1" x="0"/>
        <item h="1" x="1"/>
        <item h="1" x="2"/>
        <item h="1" x="9"/>
        <item h="1" x="10"/>
        <item x="11"/>
        <item h="1" x="12"/>
        <item t="default"/>
      </items>
    </pivotField>
    <pivotField showAll="0">
      <items count="4">
        <item h="1" x="1"/>
        <item x="2"/>
        <item h="1" x="0"/>
        <item t="default"/>
      </items>
    </pivotField>
    <pivotField axis="axisCol" showAll="0">
      <items count="3">
        <item x="1"/>
        <item x="0"/>
        <item t="default"/>
      </items>
    </pivotField>
    <pivotField dataField="1" numFmtId="1" showAll="0"/>
    <pivotField dataField="1" numFmtId="1" showAll="0"/>
    <pivotField dataField="1" numFmtId="1" showAll="0"/>
    <pivotField dataField="1" numFmtId="1" showAll="0"/>
    <pivotField dataField="1" numFmtId="1" showAll="0"/>
    <pivotField dataField="1" numFmtId="1" showAll="0"/>
    <pivotField dataField="1" numFmtId="1" showAll="0"/>
    <pivotField dataField="1" numFmtId="1" showAll="0"/>
    <pivotField dataField="1" numFmtId="1" showAll="0"/>
    <pivotField dataField="1" numFmtId="1" showAll="0"/>
    <pivotField dataField="1" numFmtId="1" showAll="0"/>
    <pivotField dataField="1" numFmtId="1" showAll="0"/>
  </pivotFields>
  <rowFields count="2">
    <field x="0"/>
    <field x="-2"/>
  </rowFields>
  <rowItems count="25">
    <i>
      <x v="4"/>
    </i>
    <i r="1">
      <x/>
    </i>
    <i r="1" i="1">
      <x v="1"/>
    </i>
    <i r="1" i="2">
      <x v="2"/>
    </i>
    <i r="1" i="3">
      <x v="3"/>
    </i>
    <i r="1" i="4">
      <x v="4"/>
    </i>
    <i r="1" i="5">
      <x v="5"/>
    </i>
    <i r="1" i="6">
      <x v="6"/>
    </i>
    <i r="1" i="7">
      <x v="7"/>
    </i>
    <i r="1" i="8">
      <x v="8"/>
    </i>
    <i r="1" i="9">
      <x v="9"/>
    </i>
    <i r="1" i="10">
      <x v="10"/>
    </i>
    <i r="1" i="11">
      <x v="11"/>
    </i>
    <i t="grand">
      <x/>
    </i>
    <i t="grand" i="1">
      <x/>
    </i>
    <i t="grand" i="2">
      <x/>
    </i>
    <i t="grand" i="3">
      <x/>
    </i>
    <i t="grand" i="4">
      <x/>
    </i>
    <i t="grand" i="5">
      <x/>
    </i>
    <i t="grand" i="6">
      <x/>
    </i>
    <i t="grand" i="7">
      <x/>
    </i>
    <i t="grand" i="8">
      <x/>
    </i>
    <i t="grand" i="9">
      <x/>
    </i>
    <i t="grand" i="10">
      <x/>
    </i>
    <i t="grand" i="11">
      <x/>
    </i>
  </rowItems>
  <colFields count="1">
    <field x="3"/>
  </colFields>
  <colItems count="3">
    <i>
      <x/>
    </i>
    <i>
      <x v="1"/>
    </i>
    <i t="grand">
      <x/>
    </i>
  </colItems>
  <dataFields count="12">
    <dataField name=" Jan-22" fld="4" baseField="3" baseItem="1" numFmtId="3"/>
    <dataField name=" Feb-22" fld="5" baseField="3" baseItem="1" numFmtId="3"/>
    <dataField name=" Mar-22" fld="6" baseField="3" baseItem="1" numFmtId="3"/>
    <dataField name=" Apr-22" fld="7" baseField="3" baseItem="1" numFmtId="3"/>
    <dataField name=" May-22" fld="8" baseField="3" baseItem="1" numFmtId="3"/>
    <dataField name=" Jun-22" fld="9" baseField="3" baseItem="1" numFmtId="3"/>
    <dataField name=" Jul-22" fld="10" baseField="3" baseItem="1" numFmtId="3"/>
    <dataField name=" Aug-22" fld="11" baseField="3" baseItem="1" numFmtId="3"/>
    <dataField name=" Sep-22" fld="12" baseField="3" baseItem="1" numFmtId="3"/>
    <dataField name=" Oct-22" fld="13" baseField="3" baseItem="1" numFmtId="3"/>
    <dataField name=" Nov-22" fld="14" baseField="3" baseItem="1" numFmtId="3"/>
    <dataField name=" Dec-22" fld="15" baseField="3" baseItem="1" numFmtId="3"/>
  </dataFields>
  <chartFormats count="15">
    <chartFormat chart="4" format="0" series="1">
      <pivotArea type="data" outline="0" fieldPosition="0">
        <references count="2">
          <reference field="4294967294" count="1" selected="0">
            <x v="0"/>
          </reference>
          <reference field="3" count="1" selected="0">
            <x v="0"/>
          </reference>
        </references>
      </pivotArea>
    </chartFormat>
    <chartFormat chart="4" format="1" series="1">
      <pivotArea type="data" outline="0" fieldPosition="0">
        <references count="2">
          <reference field="4294967294" count="1" selected="0">
            <x v="0"/>
          </reference>
          <reference field="3" count="1" selected="0">
            <x v="1"/>
          </reference>
        </references>
      </pivotArea>
    </chartFormat>
    <chartFormat chart="8" format="4" series="1">
      <pivotArea type="data" outline="0" fieldPosition="0">
        <references count="2">
          <reference field="4294967294" count="1" selected="0">
            <x v="0"/>
          </reference>
          <reference field="3" count="1" selected="0">
            <x v="0"/>
          </reference>
        </references>
      </pivotArea>
    </chartFormat>
    <chartFormat chart="8" format="5" series="1">
      <pivotArea type="data" outline="0" fieldPosition="0">
        <references count="2">
          <reference field="4294967294" count="1" selected="0">
            <x v="0"/>
          </reference>
          <reference field="3" count="1" selected="0">
            <x v="1"/>
          </reference>
        </references>
      </pivotArea>
    </chartFormat>
    <chartFormat chart="8" format="6"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15" format="3" series="1">
      <pivotArea type="data" outline="0" fieldPosition="0">
        <references count="2">
          <reference field="4294967294" count="1" selected="0">
            <x v="0"/>
          </reference>
          <reference field="3" count="1" selected="0">
            <x v="0"/>
          </reference>
        </references>
      </pivotArea>
    </chartFormat>
    <chartFormat chart="15" format="4" series="1">
      <pivotArea type="data" outline="0" fieldPosition="0">
        <references count="2">
          <reference field="4294967294" count="1" selected="0">
            <x v="0"/>
          </reference>
          <reference field="3" count="1" selected="0">
            <x v="1"/>
          </reference>
        </references>
      </pivotArea>
    </chartFormat>
    <chartFormat chart="17" format="7" series="1">
      <pivotArea type="data" outline="0" fieldPosition="0">
        <references count="2">
          <reference field="4294967294" count="1" selected="0">
            <x v="0"/>
          </reference>
          <reference field="3" count="1" selected="0">
            <x v="0"/>
          </reference>
        </references>
      </pivotArea>
    </chartFormat>
    <chartFormat chart="17" format="8" series="1">
      <pivotArea type="data" outline="0" fieldPosition="0">
        <references count="2">
          <reference field="4294967294" count="1" selected="0">
            <x v="0"/>
          </reference>
          <reference field="3" count="1" selected="0">
            <x v="1"/>
          </reference>
        </references>
      </pivotArea>
    </chartFormat>
    <chartFormat chart="31" format="7" series="1">
      <pivotArea type="data" outline="0" fieldPosition="0">
        <references count="2">
          <reference field="4294967294" count="1" selected="0">
            <x v="0"/>
          </reference>
          <reference field="3" count="1" selected="0">
            <x v="0"/>
          </reference>
        </references>
      </pivotArea>
    </chartFormat>
    <chartFormat chart="31" format="8" series="1">
      <pivotArea type="data" outline="0" fieldPosition="0">
        <references count="2">
          <reference field="4294967294" count="1" selected="0">
            <x v="0"/>
          </reference>
          <reference field="3" count="1" selected="0">
            <x v="1"/>
          </reference>
        </references>
      </pivotArea>
    </chartFormat>
    <chartFormat chart="31" format="9" series="1">
      <pivotArea type="data" outline="0" fieldPosition="0">
        <references count="1">
          <reference field="4294967294" count="1" selected="0">
            <x v="0"/>
          </reference>
        </references>
      </pivotArea>
    </chartFormat>
    <chartFormat chart="17" format="9" series="1">
      <pivotArea type="data" outline="0" fieldPosition="0">
        <references count="1">
          <reference field="4294967294" count="1" selected="0">
            <x v="0"/>
          </reference>
        </references>
      </pivotArea>
    </chartFormat>
    <chartFormat chart="15" format="5"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Company" xr10:uid="{37E3EEA7-9D5C-4D2E-961E-8F2C79CDF188}" sourceName="Company">
  <pivotTables>
    <pivotTable tabId="19" name="PivotTable4"/>
  </pivotTables>
  <data>
    <tabular pivotCacheId="432559009">
      <items count="7">
        <i x="5" s="1"/>
        <i x="6"/>
        <i x="1" nd="1"/>
        <i x="2" nd="1"/>
        <i x="4" nd="1"/>
        <i x="3" nd="1"/>
        <i x="0"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Plant" xr10:uid="{4D04AF71-B48B-4D96-8D50-660566B1CED0}" sourceName="Plant">
  <pivotTables>
    <pivotTable tabId="19" name="PivotTable4"/>
  </pivotTables>
  <data>
    <tabular pivotCacheId="432559009">
      <items count="13">
        <i x="9" s="1"/>
        <i x="10" s="1"/>
        <i x="11" s="1"/>
        <i x="3" s="1" nd="1"/>
        <i x="4" s="1" nd="1"/>
        <i x="5" s="1" nd="1"/>
        <i x="6" s="1" nd="1"/>
        <i x="8" s="1" nd="1"/>
        <i x="7" s="1" nd="1"/>
        <i x="0" s="1" nd="1"/>
        <i x="1" s="1" nd="1"/>
        <i x="2" s="1" nd="1"/>
        <i x="12"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Region" xr10:uid="{227F46CE-175A-42A4-B262-324E315F1DE8}" sourceName="Region">
  <pivotTables>
    <pivotTable tabId="19" name="PivotTable4"/>
  </pivotTables>
  <data>
    <tabular pivotCacheId="432559009">
      <items count="3">
        <i x="2" s="1"/>
        <i x="1" nd="1"/>
        <i x="0"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PLAN___ACT" xr10:uid="{0971E411-8254-474F-BCFF-017A6BBFBD5E}" sourceName="PLAN / ACT">
  <pivotTables>
    <pivotTable tabId="19" name="PivotTable4"/>
  </pivotTables>
  <data>
    <tabular pivotCacheId="432559009">
      <items count="2">
        <i x="1" s="1"/>
        <i x="0"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Company1" xr10:uid="{A9F37313-F3F9-4E26-BCBA-439DC633E9BB}" sourceName="Company">
  <pivotTables>
    <pivotTable tabId="32" name="PivotTable14"/>
  </pivotTables>
  <data>
    <tabular pivotCacheId="1107393709">
      <items count="7">
        <i x="5" s="1"/>
        <i x="1" nd="1"/>
        <i x="2" nd="1"/>
        <i x="4" nd="1"/>
        <i x="3" nd="1"/>
        <i x="6" nd="1"/>
        <i x="0" nd="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Region1" xr10:uid="{61E37E8A-4BC6-4C3F-AC41-E45E09D588A5}" sourceName="Region">
  <pivotTables>
    <pivotTable tabId="32" name="PivotTable14"/>
  </pivotTables>
  <data>
    <tabular pivotCacheId="1107393709">
      <items count="3">
        <i x="2" s="1"/>
        <i x="1" nd="1"/>
        <i x="0" nd="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PLAN___ACT1" xr10:uid="{E6ADA8F2-C6F0-417C-9A3B-2989795C9695}" sourceName="PLAN / ACT">
  <pivotTables>
    <pivotTable tabId="32" name="PivotTable14"/>
  </pivotTables>
  <data>
    <tabular pivotCacheId="1107393709">
      <items count="2">
        <i x="1" s="1"/>
        <i x="0"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Plant1" xr10:uid="{CFF66379-08C5-447F-9E44-6DDE5033F8E2}" sourceName="Plant">
  <pivotTables>
    <pivotTable tabId="32" name="PivotTable14"/>
  </pivotTables>
  <data>
    <tabular pivotCacheId="1107393709">
      <items count="13">
        <i x="9"/>
        <i x="10"/>
        <i x="11" s="1"/>
        <i x="3" nd="1"/>
        <i x="4" nd="1"/>
        <i x="5" nd="1"/>
        <i x="6" nd="1"/>
        <i x="8" nd="1"/>
        <i x="7" nd="1"/>
        <i x="0" nd="1"/>
        <i x="1" nd="1"/>
        <i x="2" nd="1"/>
        <i x="12"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mpany" xr10:uid="{7CDCE43B-F83A-4803-9037-49E7CAFB13DA}" cache="Datenschnitt_Company" caption="Company" style="Datenschnittformat 2" rowHeight="241300"/>
  <slicer name="Plant" xr10:uid="{87F0EA18-C3B5-4DAF-8DCD-4A87E5922509}" cache="Datenschnitt_Plant" caption="Plant" style="Datenschnittformat 2" rowHeight="241300"/>
  <slicer name="Region" xr10:uid="{DDC3CA65-769D-493F-93C4-B0AB0F653ADC}" cache="Datenschnitt_Region" caption="Region" style="Datenschnittformat 2" rowHeight="241300"/>
  <slicer name="PLAN / ACT" xr10:uid="{8672C68E-A54F-4301-BBBC-3C1DA796D325}" cache="Datenschnitt_PLAN___ACT" caption="PLAN / ACT" style="Datenschnittformat 2" rowHeight="241300"/>
  <slicer name="Company 1" xr10:uid="{B033C206-76C3-4FF9-B4F6-C3C97FC6E0B6}" cache="Datenschnitt_Company1" caption="Company" rowHeight="241300"/>
  <slicer name="Region 1" xr10:uid="{739FBE46-8E2D-493A-8338-504D272F011C}" cache="Datenschnitt_Region1" caption="Region" rowHeight="241300"/>
  <slicer name="PLAN / ACT 1" xr10:uid="{E9445605-1FC5-48BD-BA64-28F3547A004B}" cache="Datenschnitt_PLAN___ACT1" caption="PLAN / ACT" rowHeight="241300"/>
  <slicer name="Plant 1" xr10:uid="{465AB46A-2930-42B3-A9D2-F9F2755457CB}" cache="Datenschnitt_Plant1" caption="Plant"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A17F2B1-52D8-4D6B-BAD9-3141E26A646C}" name="Tabelle35" displayName="Tabelle35" ref="A2:P16" totalsRowShown="0" headerRowDxfId="136" dataDxfId="135">
  <autoFilter ref="A2:P16" xr:uid="{2883C788-BEA7-4826-BC25-7B01AAB697A7}"/>
  <tableColumns count="16">
    <tableColumn id="1" xr3:uid="{6DEE4D4D-0EC9-4739-B85B-D569D8BB28CC}" name="Company" dataDxfId="134"/>
    <tableColumn id="16" xr3:uid="{A86AAD0E-9F43-442F-ACBC-47753B10ACB7}" name="Plant" dataDxfId="133"/>
    <tableColumn id="2" xr3:uid="{8E0CA5A3-3EB7-4B9B-BAD9-6FB7BA0707D0}" name="Region" dataDxfId="132">
      <calculatedColumnFormula>+VLOOKUP(Tabelle35[[#This Row],[Company]],'Drop Downs'!A:B,2,FALSE)</calculatedColumnFormula>
    </tableColumn>
    <tableColumn id="3" xr3:uid="{68493F48-CF45-49DB-9ACB-2C0A8D11FDBC}" name="Jan-22" dataDxfId="131"/>
    <tableColumn id="4" xr3:uid="{A48A85A9-4919-404F-B0C2-C4CD1EF30F22}" name="Feb-22" dataDxfId="130">
      <calculatedColumnFormula>+Tabelle35[[#This Row],[Jan-22]]*0.99</calculatedColumnFormula>
    </tableColumn>
    <tableColumn id="5" xr3:uid="{F9F5FE81-9488-410F-A865-DF4A4757B1B0}" name="Mar-22" dataDxfId="129"/>
    <tableColumn id="6" xr3:uid="{6B80A23E-D6F0-451C-8F4C-CCDE16FFDDFF}" name="Apr-22" dataDxfId="128"/>
    <tableColumn id="7" xr3:uid="{35E9DFE5-F586-4B9D-AA91-7A4FE5468707}" name="May-22" dataDxfId="127"/>
    <tableColumn id="8" xr3:uid="{4CB62E46-F02C-4584-9DDD-B1F7731B7513}" name="Jun-22" dataDxfId="126"/>
    <tableColumn id="9" xr3:uid="{8938C7DB-E062-4758-9BEA-B7096AC29811}" name="Jul-22" dataDxfId="125"/>
    <tableColumn id="10" xr3:uid="{0EA64D47-C961-4275-A370-04629C2BB62E}" name="Aug-22" dataDxfId="124"/>
    <tableColumn id="11" xr3:uid="{EDB0A999-32DA-4E7A-8995-4F5DA05DA93D}" name="Sep-22" dataDxfId="123"/>
    <tableColumn id="12" xr3:uid="{438371C0-7DF7-45AD-ADF6-77ED6E73BAF5}" name="Oct-22" dataDxfId="122"/>
    <tableColumn id="13" xr3:uid="{F44ECF6B-0F57-4941-AF18-64DDC3F18B4D}" name="Nov-22" dataDxfId="121"/>
    <tableColumn id="14" xr3:uid="{90EAA2F8-3025-4A35-88FB-F4AFC7A260B1}" name="Dec-22" dataDxfId="120"/>
    <tableColumn id="15" xr3:uid="{09D5CC01-EA5F-479F-B24B-771248744708}" name="Total YE" dataDxfId="119">
      <calculatedColumnFormula>ROUNDUP(Tabelle35[[#This Row],[Dec-22]],0)</calculatedColumnFormula>
    </tableColumn>
  </tableColumns>
  <tableStyleInfo name="Tabellenformat 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33F71DC-7998-4343-852A-F088E1D4355B}" name="Tabelle356" displayName="Tabelle356" ref="B4:P18" totalsRowCount="1" headerRowDxfId="118" dataDxfId="117">
  <autoFilter ref="B4:P17" xr:uid="{2883C788-BEA7-4826-BC25-7B01AAB697A7}"/>
  <tableColumns count="15">
    <tableColumn id="1" xr3:uid="{EE011507-AC3C-410E-8C9A-AD4E38622967}" name="Company" totalsRowLabel="Ergebnis" dataDxfId="116" totalsRowDxfId="14"/>
    <tableColumn id="16" xr3:uid="{DDB1B9E6-425F-4358-910E-9396EE76073A}" name="Plant" dataDxfId="115" totalsRowDxfId="13"/>
    <tableColumn id="2" xr3:uid="{07FD6DDC-5A3B-4069-83E9-B346A339B2C9}" name="Region" dataDxfId="114" totalsRowDxfId="12">
      <calculatedColumnFormula>+VLOOKUP(Tabelle356[[#This Row],[Company]],'Drop Downs'!A:B,2,FALSE)</calculatedColumnFormula>
    </tableColumn>
    <tableColumn id="3" xr3:uid="{4AAC867D-98D6-4B28-B8B7-6BD07ABEFEE2}" name="Jan-22" totalsRowFunction="sum" dataDxfId="113" totalsRowDxfId="11"/>
    <tableColumn id="4" xr3:uid="{B527ABEA-7B49-40E1-AD73-E2A055C10818}" name="Feb-22" totalsRowFunction="sum" dataDxfId="112" totalsRowDxfId="10">
      <calculatedColumnFormula>+Tabelle356[[#This Row],[Jan-22]]*0.99</calculatedColumnFormula>
    </tableColumn>
    <tableColumn id="5" xr3:uid="{55AEE04D-595F-4330-A756-BAFACA98D041}" name="Mar-22" totalsRowFunction="sum" dataDxfId="111" totalsRowDxfId="9"/>
    <tableColumn id="6" xr3:uid="{FB9036CF-BF17-4D92-ABDC-33158AFEB45C}" name="Apr-22" totalsRowFunction="sum" dataDxfId="110" totalsRowDxfId="8"/>
    <tableColumn id="7" xr3:uid="{64644C64-35A7-4BE7-B34E-4ABCFE00D7FC}" name="May-22" totalsRowFunction="sum" dataDxfId="109" totalsRowDxfId="7"/>
    <tableColumn id="8" xr3:uid="{96A42AA8-81A6-4B9A-BC8A-9B8276BCBF56}" name="Jun-22" totalsRowFunction="sum" dataDxfId="16" totalsRowDxfId="6"/>
    <tableColumn id="9" xr3:uid="{5446C8B4-601E-4813-A9AB-3C12BC2314EA}" name="Jul-22" totalsRowFunction="sum" dataDxfId="15" totalsRowDxfId="5"/>
    <tableColumn id="10" xr3:uid="{94D19B98-863D-40F8-A4D0-D691FFB7D08D}" name="Aug-22" totalsRowFunction="sum" dataDxfId="108" totalsRowDxfId="4"/>
    <tableColumn id="11" xr3:uid="{743F0EC5-97C8-4C56-91A0-248E1533BA16}" name="Sep-22" totalsRowFunction="sum" dataDxfId="107" totalsRowDxfId="3"/>
    <tableColumn id="12" xr3:uid="{297DB886-A2A1-4A3F-8BBE-BFDD754D45AE}" name="Oct-22" totalsRowFunction="sum" dataDxfId="106" totalsRowDxfId="2"/>
    <tableColumn id="13" xr3:uid="{1B75DCF6-7454-44D0-8D3F-BAC18A9FD42A}" name="Nov-22" totalsRowFunction="sum" dataDxfId="105" totalsRowDxfId="1"/>
    <tableColumn id="14" xr3:uid="{1230D323-B6D6-4844-B110-23C15F912516}" name="Dec-22" totalsRowFunction="sum" dataDxfId="104" totalsRowDxfId="0"/>
  </tableColumns>
  <tableStyleInfo name="Tabellenformat 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7304646-E254-4E23-A2F5-EB9C216021F0}" name="Tabelle353" displayName="Tabelle353" ref="A3:Q29" totalsRowShown="0" headerRowDxfId="103" dataDxfId="102">
  <autoFilter ref="A3:Q29" xr:uid="{2883C788-BEA7-4826-BC25-7B01AAB697A7}"/>
  <tableColumns count="17">
    <tableColumn id="1" xr3:uid="{0C18385F-213F-4F10-A51B-DA88E24A2E2F}" name="Company" dataDxfId="101"/>
    <tableColumn id="16" xr3:uid="{CD1B876C-5717-400A-B079-08510E43A418}" name="Plant" dataDxfId="100"/>
    <tableColumn id="2" xr3:uid="{607156B9-69B3-4D64-A2C5-CC5162522098}" name="Region" dataDxfId="99">
      <calculatedColumnFormula>+VLOOKUP(Tabelle353[[#This Row],[Company]],'Drop Downs'!A:B,2,FALSE)</calculatedColumnFormula>
    </tableColumn>
    <tableColumn id="17" xr3:uid="{0B36C9B1-4C5F-44D9-9E8A-290DA9EF112F}" name="PLAN / ACT" dataDxfId="85"/>
    <tableColumn id="3" xr3:uid="{DC65E8A6-05E7-45C7-B118-507A3A897A16}" name="Jan-22" dataDxfId="98"/>
    <tableColumn id="4" xr3:uid="{23BF09FC-AD59-4F25-A512-5EDE0ECC3382}" name="Feb-22" dataDxfId="97">
      <calculatedColumnFormula>+Tabelle353[[#This Row],[Jan-22]]*0.99</calculatedColumnFormula>
    </tableColumn>
    <tableColumn id="5" xr3:uid="{88569D74-F927-4F72-A992-494F5191645B}" name="Mar-22" dataDxfId="96"/>
    <tableColumn id="6" xr3:uid="{26891F1D-A0DD-42BC-992B-D497DFA217D4}" name="Apr-22" dataDxfId="95"/>
    <tableColumn id="7" xr3:uid="{9CA2F028-D6B4-40A6-A157-530EAB4EA4E9}" name="May-22" dataDxfId="94"/>
    <tableColumn id="8" xr3:uid="{12FF7D2F-1C51-4337-B686-26E7A85A46CD}" name="Jun-22" dataDxfId="93"/>
    <tableColumn id="9" xr3:uid="{F159EAE5-BC36-404D-8AAE-7651BD2680D8}" name="Jul-22" dataDxfId="92"/>
    <tableColumn id="10" xr3:uid="{E4C0251F-6FB4-4D5E-A3D7-2FE8F81D32C9}" name="Aug-22" dataDxfId="91"/>
    <tableColumn id="11" xr3:uid="{C1C86A30-82A0-4215-A9AA-5223840D927C}" name="Sep-22" dataDxfId="90"/>
    <tableColumn id="12" xr3:uid="{BD283428-6064-4265-B9E4-9655D80D3789}" name="Oct-22" dataDxfId="89"/>
    <tableColumn id="13" xr3:uid="{88B0ECB2-7E7A-4BDE-9D5C-9F6EC6651CAD}" name="Nov-22" dataDxfId="88"/>
    <tableColumn id="14" xr3:uid="{55465310-8818-4426-9813-CA94D6559BD8}" name="Dec-22" dataDxfId="87"/>
    <tableColumn id="15" xr3:uid="{782B0790-C79B-40EE-8399-5F4633FB3E51}" name="Total YE" dataDxfId="86">
      <calculatedColumnFormula>ROUNDUP(Tabelle353[[#This Row],[Dec-22]],0)</calculatedColumnFormula>
    </tableColumn>
  </tableColumns>
  <tableStyleInfo name="Tabellenformat 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7493138-28AA-4D53-919E-6328C9B93A19}" name="Tabelle354" displayName="Tabelle354" ref="A2:P16" totalsRowShown="0" headerRowDxfId="84" dataDxfId="83">
  <autoFilter ref="A2:P16" xr:uid="{2883C788-BEA7-4826-BC25-7B01AAB697A7}"/>
  <tableColumns count="16">
    <tableColumn id="1" xr3:uid="{DE692951-8EE5-419A-9EA7-EFFEF029F772}" name="Company" dataDxfId="82"/>
    <tableColumn id="16" xr3:uid="{A43A5C6A-F7D8-434A-B5CB-47AF75E051AB}" name="Plant" dataDxfId="81"/>
    <tableColumn id="2" xr3:uid="{50301642-0FF0-4AD2-9234-3A8BBF665E58}" name="Region" dataDxfId="80">
      <calculatedColumnFormula>+VLOOKUP(Tabelle354[[#This Row],[Company]],'Drop Downs'!A:B,2,FALSE)</calculatedColumnFormula>
    </tableColumn>
    <tableColumn id="3" xr3:uid="{F10C174F-A308-47E9-A3BC-0B49CA5295C1}" name="Jan-22" dataDxfId="79"/>
    <tableColumn id="4" xr3:uid="{4A2D58A4-20DD-4C66-921A-8E8F63E87D6B}" name="Feb-22" dataDxfId="78">
      <calculatedColumnFormula>+Tabelle354[[#This Row],[Jan-22]]*0.99</calculatedColumnFormula>
    </tableColumn>
    <tableColumn id="5" xr3:uid="{2B7AB7D2-099A-42D9-B33B-AB9EA92E0EF4}" name="Mar-22" dataDxfId="77"/>
    <tableColumn id="6" xr3:uid="{87C2B279-7A8C-4F0C-B479-40DC949A9ACD}" name="Apr-22" dataDxfId="76"/>
    <tableColumn id="7" xr3:uid="{729BB2E4-AC09-42B3-9CD1-06722849E193}" name="May-22" dataDxfId="75"/>
    <tableColumn id="8" xr3:uid="{97B4717C-72E4-4130-AB04-33890788850E}" name="Jun-22" dataDxfId="74"/>
    <tableColumn id="9" xr3:uid="{216BE0FD-3CE4-4A8F-9CEE-06518E848C53}" name="Jul-22" dataDxfId="73"/>
    <tableColumn id="10" xr3:uid="{1928E0C2-0B4F-41BC-AB55-0425A8F25B62}" name="Aug-22" dataDxfId="72"/>
    <tableColumn id="11" xr3:uid="{834D1E06-0EC4-43F4-B8D9-D240A7C86CE8}" name="Sep-22" dataDxfId="71"/>
    <tableColumn id="12" xr3:uid="{EF961253-9784-421A-8BDC-B97B17127612}" name="Oct-22" dataDxfId="70"/>
    <tableColumn id="13" xr3:uid="{5CA297FC-18E8-4CEA-8FA9-F3EF8A510B31}" name="Nov-22" dataDxfId="69"/>
    <tableColumn id="14" xr3:uid="{4F9D948D-AF55-4AC3-8B42-19978DCD1007}" name="Dec-22" dataDxfId="68"/>
    <tableColumn id="15" xr3:uid="{B17E9E3D-C869-4B4C-BD94-E16C8044765D}" name="Total YE" dataDxfId="67">
      <calculatedColumnFormula>ROUNDUP(Tabelle354[[#This Row],[Dec-22]],0)</calculatedColumnFormula>
    </tableColumn>
  </tableColumns>
  <tableStyleInfo name="Tabellenformat 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883D1EA-1485-474A-98DE-1B7A01EF4068}" name="Tabelle3567" displayName="Tabelle3567" ref="B4:P18" totalsRowCount="1" headerRowDxfId="66" dataDxfId="65">
  <autoFilter ref="B4:P17" xr:uid="{2883C788-BEA7-4826-BC25-7B01AAB697A7}"/>
  <tableColumns count="15">
    <tableColumn id="1" xr3:uid="{2F840E3F-5009-41FD-A559-6CACD595DFE4}" name="Company" totalsRowLabel="Ergebnis" dataDxfId="64" totalsRowDxfId="31"/>
    <tableColumn id="16" xr3:uid="{16860E27-E0AE-48B7-AC1E-5154400DAE38}" name="Plant" dataDxfId="63" totalsRowDxfId="30"/>
    <tableColumn id="2" xr3:uid="{75BC0ACB-FCB5-456E-8A37-DBD5136A998D}" name="Region" dataDxfId="62" totalsRowDxfId="29">
      <calculatedColumnFormula>+VLOOKUP(Tabelle3567[[#This Row],[Company]],'Drop Downs'!A:B,2,FALSE)</calculatedColumnFormula>
    </tableColumn>
    <tableColumn id="3" xr3:uid="{9EC84705-DC34-4468-833C-1E98FF1142C6}" name="Jan-22" totalsRowFunction="sum" dataDxfId="61" totalsRowDxfId="28">
      <calculatedColumnFormula>+'Umsatz PLAN'!D3</calculatedColumnFormula>
    </tableColumn>
    <tableColumn id="4" xr3:uid="{3C4C081D-C615-4358-AAF9-CBF7CD4791AC}" name="Feb-22" totalsRowFunction="sum" dataDxfId="60" totalsRowDxfId="27">
      <calculatedColumnFormula>+Tabelle3567[[#This Row],[Jan-22]]*0.99</calculatedColumnFormula>
    </tableColumn>
    <tableColumn id="5" xr3:uid="{9BDEE2FF-3D3D-47D9-B418-E6222A79D1D2}" name="Mar-22" totalsRowFunction="sum" dataDxfId="59" totalsRowDxfId="26"/>
    <tableColumn id="6" xr3:uid="{2B65BEBE-FC8E-49E2-A268-7C1EE0ED4321}" name="Apr-22" totalsRowFunction="sum" dataDxfId="58" totalsRowDxfId="25"/>
    <tableColumn id="7" xr3:uid="{0AEFA50D-FC44-4F97-9412-B78229230AA7}" name="May-22" totalsRowFunction="sum" dataDxfId="57" totalsRowDxfId="24"/>
    <tableColumn id="8" xr3:uid="{F6FADA7A-4CFA-4A21-B2CE-686469B99856}" name="Jun-22" totalsRowFunction="sum" dataDxfId="56" totalsRowDxfId="23"/>
    <tableColumn id="9" xr3:uid="{C4E06F9E-49FD-4065-89B3-A498EE2CA081}" name="Jul-22" totalsRowFunction="sum" dataDxfId="32" totalsRowDxfId="22"/>
    <tableColumn id="10" xr3:uid="{3C5CA9DD-9F69-4462-B71C-D3E3CA5421B4}" name="Aug-22" totalsRowFunction="sum" dataDxfId="55" totalsRowDxfId="21"/>
    <tableColumn id="11" xr3:uid="{E768A604-6FB2-447D-AED0-ACCCD021BA5A}" name="Sep-22" totalsRowFunction="sum" dataDxfId="54" totalsRowDxfId="20"/>
    <tableColumn id="12" xr3:uid="{90C01FE4-52E1-4789-AF35-449E230C020E}" name="Oct-22" totalsRowFunction="sum" dataDxfId="53" totalsRowDxfId="19"/>
    <tableColumn id="13" xr3:uid="{2BF3ABF4-40CF-4391-8CA3-233937764BFF}" name="Nov-22" totalsRowFunction="sum" dataDxfId="52" totalsRowDxfId="18"/>
    <tableColumn id="14" xr3:uid="{D3AAA0C9-42DB-4992-AD78-645214AE339E}" name="Dec-22" totalsRowFunction="sum" dataDxfId="51" totalsRowDxfId="17"/>
  </tableColumns>
  <tableStyleInfo name="Tabellenformat 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0528D53-8B7A-4A34-937E-98B542C10F23}" name="Tabelle3538" displayName="Tabelle3538" ref="A3:P30" totalsRowShown="0" headerRowDxfId="50" dataDxfId="49">
  <autoFilter ref="A3:P30" xr:uid="{2883C788-BEA7-4826-BC25-7B01AAB697A7}"/>
  <tableColumns count="16">
    <tableColumn id="1" xr3:uid="{C2799EF2-F412-4EF5-A555-339A67F208E7}" name="Company" dataDxfId="48"/>
    <tableColumn id="16" xr3:uid="{8D1F025C-22D3-457D-A828-83AF43FC60E8}" name="Plant" dataDxfId="47"/>
    <tableColumn id="2" xr3:uid="{380EED12-81B1-4FA7-AE01-9AC921E7FBFD}" name="Region" dataDxfId="46">
      <calculatedColumnFormula>+VLOOKUP(Tabelle3538[[#This Row],[Company]],'Drop Downs'!A:B,2,FALSE)</calculatedColumnFormula>
    </tableColumn>
    <tableColumn id="17" xr3:uid="{BAACE5CA-11AB-44EB-B316-852633EEB3D1}" name="PLAN / ACT" dataDxfId="45"/>
    <tableColumn id="3" xr3:uid="{5EEA5423-9AC9-47E5-B419-A19FC95A27E6}" name="Jan-22" dataDxfId="44"/>
    <tableColumn id="4" xr3:uid="{FA677E5A-3C5C-4165-B249-CF9EF15C6CAC}" name="Feb-22" dataDxfId="43">
      <calculatedColumnFormula>+Tabelle3538[[#This Row],[Jan-22]]*0.99</calculatedColumnFormula>
    </tableColumn>
    <tableColumn id="5" xr3:uid="{D5AAF6D7-323A-434C-8C24-492DD2D6A39D}" name="Mar-22" dataDxfId="42"/>
    <tableColumn id="6" xr3:uid="{0356DA86-138B-4239-A643-F05AC709A736}" name="Apr-22" dataDxfId="41"/>
    <tableColumn id="7" xr3:uid="{D0450C8D-8F2D-4430-A93E-395F145A9DF5}" name="May-22" dataDxfId="40"/>
    <tableColumn id="8" xr3:uid="{D80E2A45-3340-433E-A742-8C6BF471C778}" name="Jun-22" dataDxfId="39"/>
    <tableColumn id="9" xr3:uid="{04A4710C-D6A5-47F8-858A-C88EF5FA1A27}" name="Jul-22" dataDxfId="38"/>
    <tableColumn id="10" xr3:uid="{4E89BE5B-B7BD-46F9-A58F-76E950DFDE08}" name="Aug-22" dataDxfId="37"/>
    <tableColumn id="11" xr3:uid="{5AEE1026-2C4B-4624-80BD-DE825D08C98D}" name="Sep-22" dataDxfId="36"/>
    <tableColumn id="12" xr3:uid="{F58A583F-6AF1-4269-BB6D-3F9114592FAD}" name="Oct-22" dataDxfId="35"/>
    <tableColumn id="13" xr3:uid="{AFA40230-65B8-4C3B-A284-8E1A4C3714F7}" name="Nov-22" dataDxfId="34"/>
    <tableColumn id="14" xr3:uid="{3AEC7612-4DDA-4999-8310-17814F056A16}" name="Dec-22" dataDxfId="33"/>
  </tableColumns>
  <tableStyleInfo name="Tabellenformat 3"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17AD1-BECD-44D4-B5FC-AD65C6CAD901}">
  <sheetPr>
    <pageSetUpPr fitToPage="1"/>
  </sheetPr>
  <dimension ref="A1:U35"/>
  <sheetViews>
    <sheetView showGridLines="0" tabSelected="1" zoomScale="55" zoomScaleNormal="55" workbookViewId="0">
      <selection sqref="A1:U2"/>
    </sheetView>
  </sheetViews>
  <sheetFormatPr baseColWidth="10" defaultRowHeight="14.5"/>
  <sheetData>
    <row r="1" spans="1:21">
      <c r="A1" s="40" t="s">
        <v>104</v>
      </c>
      <c r="B1" s="40"/>
      <c r="C1" s="40"/>
      <c r="D1" s="40"/>
      <c r="E1" s="40"/>
      <c r="F1" s="40"/>
      <c r="G1" s="40"/>
      <c r="H1" s="40"/>
      <c r="I1" s="40"/>
      <c r="J1" s="40"/>
      <c r="K1" s="40"/>
      <c r="L1" s="40"/>
      <c r="M1" s="41"/>
      <c r="N1" s="41"/>
      <c r="O1" s="41"/>
      <c r="P1" s="41"/>
      <c r="Q1" s="41"/>
      <c r="R1" s="41"/>
      <c r="S1" s="41"/>
      <c r="T1" s="41"/>
      <c r="U1" s="41"/>
    </row>
    <row r="2" spans="1:21">
      <c r="A2" s="40"/>
      <c r="B2" s="40"/>
      <c r="C2" s="40"/>
      <c r="D2" s="40"/>
      <c r="E2" s="40"/>
      <c r="F2" s="40"/>
      <c r="G2" s="40"/>
      <c r="H2" s="40"/>
      <c r="I2" s="40"/>
      <c r="J2" s="40"/>
      <c r="K2" s="40"/>
      <c r="L2" s="40"/>
      <c r="M2" s="41"/>
      <c r="N2" s="41"/>
      <c r="O2" s="41"/>
      <c r="P2" s="41"/>
      <c r="Q2" s="41"/>
      <c r="R2" s="41"/>
      <c r="S2" s="41"/>
      <c r="T2" s="41"/>
      <c r="U2" s="41"/>
    </row>
    <row r="3" spans="1:21" s="35" customFormat="1" ht="6.5" customHeight="1">
      <c r="A3" s="33"/>
      <c r="B3" s="33"/>
      <c r="C3" s="33"/>
      <c r="D3" s="33"/>
      <c r="E3" s="33"/>
      <c r="F3" s="33"/>
      <c r="G3" s="33"/>
      <c r="H3" s="33"/>
      <c r="I3" s="33"/>
      <c r="J3" s="33"/>
      <c r="K3" s="33"/>
      <c r="L3" s="33"/>
      <c r="M3" s="34"/>
      <c r="N3" s="34"/>
      <c r="O3" s="34"/>
      <c r="P3" s="34"/>
      <c r="Q3" s="34"/>
      <c r="R3" s="34"/>
      <c r="S3" s="34"/>
      <c r="T3" s="34"/>
      <c r="U3" s="34"/>
    </row>
    <row r="4" spans="1:21" ht="20" customHeight="1">
      <c r="A4" s="36" t="s">
        <v>120</v>
      </c>
      <c r="B4" s="37"/>
      <c r="C4" s="37"/>
      <c r="D4" s="37"/>
      <c r="E4" s="37"/>
      <c r="F4" s="37"/>
      <c r="G4" s="37"/>
      <c r="H4" s="37"/>
      <c r="I4" s="37"/>
      <c r="J4" s="37"/>
      <c r="K4" s="37"/>
      <c r="L4" s="37"/>
      <c r="M4" s="37"/>
      <c r="N4" s="37"/>
      <c r="O4" s="37"/>
      <c r="P4" s="37"/>
      <c r="Q4" s="37"/>
      <c r="R4" s="37"/>
      <c r="S4" s="37"/>
      <c r="T4" s="37"/>
      <c r="U4" s="37"/>
    </row>
    <row r="5" spans="1:21">
      <c r="A5" s="25"/>
      <c r="B5" s="25"/>
      <c r="C5" s="25"/>
      <c r="D5" s="25"/>
      <c r="E5" s="25"/>
      <c r="F5" s="25"/>
      <c r="G5" s="25"/>
      <c r="H5" s="25"/>
      <c r="I5" s="25"/>
      <c r="J5" s="25"/>
      <c r="K5" s="25"/>
      <c r="L5" s="25"/>
      <c r="M5" s="26"/>
      <c r="N5" s="26"/>
      <c r="O5" s="26"/>
      <c r="P5" s="26"/>
      <c r="Q5" s="26"/>
      <c r="R5" s="26"/>
      <c r="S5" s="26"/>
      <c r="T5" s="26"/>
      <c r="U5" s="26"/>
    </row>
    <row r="6" spans="1:21">
      <c r="A6" s="25"/>
      <c r="B6" s="25"/>
      <c r="C6" s="25"/>
      <c r="D6" s="25"/>
      <c r="E6" s="25"/>
      <c r="F6" s="25"/>
      <c r="G6" s="25"/>
      <c r="H6" s="25"/>
      <c r="I6" s="25"/>
      <c r="J6" s="25"/>
      <c r="K6" s="25"/>
      <c r="L6" s="25"/>
      <c r="M6" s="26"/>
      <c r="N6" s="26"/>
      <c r="O6" s="26"/>
      <c r="P6" s="26"/>
      <c r="Q6" s="26"/>
      <c r="R6" s="26"/>
      <c r="S6" s="26"/>
      <c r="T6" s="26"/>
      <c r="U6" s="26"/>
    </row>
    <row r="7" spans="1:21">
      <c r="A7" s="25"/>
      <c r="B7" s="25"/>
      <c r="C7" s="25"/>
      <c r="D7" s="25"/>
      <c r="E7" s="25"/>
      <c r="F7" s="25"/>
      <c r="G7" s="25"/>
      <c r="H7" s="25"/>
      <c r="I7" s="25"/>
      <c r="J7" s="25"/>
      <c r="K7" s="25"/>
      <c r="L7" s="25"/>
      <c r="M7" s="26"/>
      <c r="N7" s="26"/>
      <c r="O7" s="26"/>
      <c r="P7" s="26"/>
      <c r="Q7" s="26"/>
      <c r="R7" s="26"/>
      <c r="S7" s="26"/>
      <c r="T7" s="26"/>
      <c r="U7" s="26"/>
    </row>
    <row r="8" spans="1:21">
      <c r="A8" s="25"/>
      <c r="B8" s="25"/>
      <c r="C8" s="25"/>
      <c r="D8" s="25"/>
      <c r="E8" s="25"/>
      <c r="F8" s="25"/>
      <c r="G8" s="25"/>
      <c r="H8" s="25"/>
      <c r="I8" s="25"/>
      <c r="J8" s="25"/>
      <c r="K8" s="25"/>
      <c r="L8" s="25"/>
      <c r="M8" s="26"/>
      <c r="N8" s="26"/>
      <c r="O8" s="26"/>
      <c r="P8" s="26"/>
      <c r="Q8" s="26"/>
      <c r="R8" s="26"/>
      <c r="S8" s="26"/>
      <c r="T8" s="26"/>
      <c r="U8" s="26"/>
    </row>
    <row r="9" spans="1:21">
      <c r="A9" s="25"/>
      <c r="B9" s="25"/>
      <c r="C9" s="25"/>
      <c r="D9" s="25"/>
      <c r="E9" s="25"/>
      <c r="F9" s="25"/>
      <c r="G9" s="25"/>
      <c r="H9" s="25"/>
      <c r="I9" s="25"/>
      <c r="J9" s="25"/>
      <c r="K9" s="25"/>
      <c r="L9" s="25"/>
      <c r="M9" s="26"/>
      <c r="N9" s="26"/>
      <c r="O9" s="26"/>
      <c r="P9" s="26"/>
      <c r="Q9" s="26"/>
      <c r="R9" s="26"/>
      <c r="S9" s="26"/>
      <c r="T9" s="26"/>
      <c r="U9" s="26"/>
    </row>
    <row r="10" spans="1:21">
      <c r="A10" s="25"/>
      <c r="B10" s="25"/>
      <c r="C10" s="25"/>
      <c r="D10" s="25"/>
      <c r="E10" s="25"/>
      <c r="F10" s="25"/>
      <c r="G10" s="25"/>
      <c r="H10" s="25"/>
      <c r="I10" s="25"/>
      <c r="J10" s="25"/>
      <c r="K10" s="25"/>
      <c r="L10" s="25"/>
      <c r="M10" s="26"/>
      <c r="N10" s="26"/>
      <c r="O10" s="26"/>
      <c r="P10" s="26"/>
      <c r="Q10" s="26"/>
      <c r="R10" s="26"/>
      <c r="S10" s="26"/>
      <c r="T10" s="26"/>
      <c r="U10" s="26"/>
    </row>
    <row r="11" spans="1:21">
      <c r="A11" s="25"/>
      <c r="B11" s="25"/>
      <c r="C11" s="25"/>
      <c r="D11" s="25"/>
      <c r="E11" s="25"/>
      <c r="F11" s="25"/>
      <c r="G11" s="25"/>
      <c r="H11" s="25"/>
      <c r="I11" s="25"/>
      <c r="J11" s="25"/>
      <c r="K11" s="25"/>
      <c r="L11" s="25"/>
      <c r="M11" s="26"/>
      <c r="N11" s="26"/>
      <c r="O11" s="26"/>
      <c r="P11" s="26"/>
      <c r="Q11" s="26"/>
      <c r="R11" s="26"/>
      <c r="S11" s="26"/>
      <c r="T11" s="26"/>
      <c r="U11" s="26"/>
    </row>
    <row r="12" spans="1:21">
      <c r="A12" s="25"/>
      <c r="B12" s="25"/>
      <c r="C12" s="25"/>
      <c r="D12" s="25"/>
      <c r="E12" s="25"/>
      <c r="F12" s="25"/>
      <c r="G12" s="25"/>
      <c r="H12" s="25"/>
      <c r="I12" s="25"/>
      <c r="J12" s="25"/>
      <c r="K12" s="25"/>
      <c r="L12" s="25"/>
      <c r="M12" s="26"/>
      <c r="N12" s="26"/>
      <c r="O12" s="26"/>
      <c r="P12" s="26"/>
      <c r="Q12" s="26"/>
      <c r="R12" s="26"/>
      <c r="S12" s="26"/>
      <c r="T12" s="26"/>
      <c r="U12" s="26"/>
    </row>
    <row r="13" spans="1:21">
      <c r="A13" s="25"/>
      <c r="B13" s="25"/>
      <c r="C13" s="25"/>
      <c r="D13" s="25"/>
      <c r="E13" s="25"/>
      <c r="F13" s="25"/>
      <c r="G13" s="25"/>
      <c r="H13" s="25"/>
      <c r="I13" s="25"/>
      <c r="J13" s="25"/>
      <c r="K13" s="25"/>
      <c r="L13" s="25"/>
      <c r="M13" s="26"/>
      <c r="N13" s="26"/>
      <c r="O13" s="26"/>
      <c r="P13" s="26"/>
      <c r="Q13" s="26"/>
      <c r="R13" s="26"/>
      <c r="S13" s="26"/>
      <c r="T13" s="26"/>
      <c r="U13" s="26"/>
    </row>
    <row r="14" spans="1:21">
      <c r="A14" s="25"/>
      <c r="B14" s="25"/>
      <c r="C14" s="25"/>
      <c r="D14" s="25"/>
      <c r="E14" s="25"/>
      <c r="F14" s="25"/>
      <c r="G14" s="25"/>
      <c r="H14" s="25"/>
      <c r="I14" s="25"/>
      <c r="J14" s="25"/>
      <c r="K14" s="25"/>
      <c r="L14" s="25"/>
      <c r="M14" s="26"/>
      <c r="N14" s="26"/>
      <c r="O14" s="26"/>
      <c r="P14" s="26"/>
      <c r="Q14" s="26"/>
      <c r="R14" s="26"/>
      <c r="S14" s="26"/>
      <c r="T14" s="26"/>
      <c r="U14" s="26"/>
    </row>
    <row r="15" spans="1:21">
      <c r="A15" s="25"/>
      <c r="B15" s="25"/>
      <c r="C15" s="25"/>
      <c r="D15" s="25"/>
      <c r="E15" s="25"/>
      <c r="F15" s="25"/>
      <c r="G15" s="25"/>
      <c r="H15" s="25"/>
      <c r="I15" s="25"/>
      <c r="J15" s="25"/>
      <c r="K15" s="25"/>
      <c r="L15" s="25"/>
      <c r="M15" s="26"/>
      <c r="N15" s="26"/>
      <c r="O15" s="26"/>
      <c r="P15" s="26"/>
      <c r="Q15" s="26"/>
      <c r="R15" s="26"/>
      <c r="S15" s="26"/>
      <c r="T15" s="26"/>
      <c r="U15" s="26"/>
    </row>
    <row r="16" spans="1:21">
      <c r="A16" s="25"/>
      <c r="B16" s="25"/>
      <c r="C16" s="25"/>
      <c r="D16" s="25"/>
      <c r="E16" s="25"/>
      <c r="F16" s="25"/>
      <c r="G16" s="25"/>
      <c r="H16" s="25"/>
      <c r="I16" s="25"/>
      <c r="J16" s="25"/>
      <c r="K16" s="25"/>
      <c r="L16" s="25"/>
      <c r="M16" s="26"/>
      <c r="N16" s="26"/>
      <c r="O16" s="26"/>
      <c r="P16" s="26"/>
      <c r="Q16" s="26"/>
      <c r="R16" s="26"/>
      <c r="S16" s="26"/>
      <c r="T16" s="26"/>
      <c r="U16" s="26"/>
    </row>
    <row r="17" spans="1:21">
      <c r="A17" s="25"/>
      <c r="B17" s="25"/>
      <c r="C17" s="25"/>
      <c r="D17" s="25"/>
      <c r="E17" s="25"/>
      <c r="F17" s="25"/>
      <c r="G17" s="25"/>
      <c r="H17" s="25"/>
      <c r="I17" s="25"/>
      <c r="J17" s="25"/>
      <c r="K17" s="25"/>
      <c r="L17" s="25"/>
      <c r="M17" s="26"/>
      <c r="N17" s="26"/>
      <c r="O17" s="26"/>
      <c r="P17" s="26"/>
      <c r="Q17" s="26"/>
      <c r="R17" s="26"/>
      <c r="S17" s="26"/>
      <c r="T17" s="26"/>
      <c r="U17" s="26"/>
    </row>
    <row r="18" spans="1:21">
      <c r="A18" s="25"/>
      <c r="B18" s="25"/>
      <c r="C18" s="25"/>
      <c r="D18" s="25"/>
      <c r="E18" s="25"/>
      <c r="F18" s="25"/>
      <c r="G18" s="25"/>
      <c r="H18" s="25"/>
      <c r="I18" s="25"/>
      <c r="J18" s="25"/>
      <c r="K18" s="25"/>
      <c r="L18" s="25"/>
      <c r="M18" s="26"/>
      <c r="N18" s="26"/>
      <c r="O18" s="26"/>
      <c r="P18" s="26"/>
      <c r="Q18" s="26"/>
      <c r="R18" s="26"/>
      <c r="S18" s="26"/>
      <c r="T18" s="26"/>
      <c r="U18" s="26"/>
    </row>
    <row r="19" spans="1:21">
      <c r="A19" s="25"/>
      <c r="B19" s="25"/>
      <c r="C19" s="25"/>
      <c r="D19" s="25"/>
      <c r="E19" s="25"/>
      <c r="F19" s="25"/>
      <c r="G19" s="25"/>
      <c r="H19" s="25"/>
      <c r="I19" s="25"/>
      <c r="J19" s="25"/>
      <c r="K19" s="25"/>
      <c r="L19" s="25"/>
      <c r="M19" s="26"/>
      <c r="N19" s="26"/>
      <c r="O19" s="26"/>
      <c r="P19" s="26"/>
      <c r="Q19" s="26"/>
      <c r="R19" s="26"/>
      <c r="S19" s="26"/>
      <c r="T19" s="26"/>
      <c r="U19" s="26"/>
    </row>
    <row r="20" spans="1:21">
      <c r="A20" s="25"/>
      <c r="B20" s="25"/>
      <c r="C20" s="25"/>
      <c r="D20" s="25"/>
      <c r="E20" s="25"/>
      <c r="F20" s="25"/>
      <c r="G20" s="25"/>
      <c r="H20" s="25"/>
      <c r="I20" s="25"/>
      <c r="J20" s="25"/>
      <c r="K20" s="25"/>
      <c r="L20" s="25"/>
      <c r="M20" s="26"/>
      <c r="N20" s="26"/>
      <c r="O20" s="26"/>
      <c r="P20" s="26"/>
      <c r="Q20" s="26"/>
      <c r="R20" s="26"/>
      <c r="S20" s="26"/>
      <c r="T20" s="26"/>
      <c r="U20" s="26"/>
    </row>
    <row r="21" spans="1:21">
      <c r="A21" s="25"/>
      <c r="B21" s="25"/>
      <c r="C21" s="25"/>
      <c r="D21" s="25"/>
      <c r="E21" s="25"/>
      <c r="F21" s="25"/>
      <c r="G21" s="25"/>
      <c r="H21" s="25"/>
      <c r="I21" s="25"/>
      <c r="J21" s="25"/>
      <c r="K21" s="25"/>
      <c r="L21" s="25"/>
      <c r="M21" s="26"/>
      <c r="N21" s="26"/>
      <c r="O21" s="26"/>
      <c r="P21" s="26"/>
      <c r="Q21" s="26"/>
      <c r="R21" s="26"/>
      <c r="S21" s="26"/>
      <c r="T21" s="26"/>
      <c r="U21" s="26"/>
    </row>
    <row r="22" spans="1:21">
      <c r="A22" s="25"/>
      <c r="B22" s="25"/>
      <c r="C22" s="25"/>
      <c r="D22" s="25"/>
      <c r="E22" s="25"/>
      <c r="F22" s="25"/>
      <c r="G22" s="25"/>
      <c r="H22" s="25"/>
      <c r="I22" s="25"/>
      <c r="J22" s="25"/>
      <c r="K22" s="25"/>
      <c r="L22" s="25"/>
      <c r="M22" s="26"/>
      <c r="N22" s="26"/>
      <c r="O22" s="26"/>
      <c r="P22" s="26"/>
      <c r="Q22" s="26"/>
      <c r="R22" s="26"/>
      <c r="S22" s="26"/>
      <c r="T22" s="26"/>
      <c r="U22" s="26"/>
    </row>
    <row r="23" spans="1:21">
      <c r="A23" s="25"/>
      <c r="B23" s="25"/>
      <c r="C23" s="25"/>
      <c r="D23" s="25"/>
      <c r="E23" s="25"/>
      <c r="F23" s="25"/>
      <c r="G23" s="25"/>
      <c r="H23" s="25"/>
      <c r="I23" s="25"/>
      <c r="J23" s="25"/>
      <c r="K23" s="25"/>
      <c r="L23" s="25"/>
      <c r="M23" s="26"/>
      <c r="N23" s="26"/>
      <c r="O23" s="26"/>
      <c r="P23" s="26"/>
      <c r="Q23" s="26"/>
      <c r="R23" s="26"/>
      <c r="S23" s="26"/>
      <c r="T23" s="26"/>
      <c r="U23" s="26"/>
    </row>
    <row r="24" spans="1:21">
      <c r="A24" s="25"/>
      <c r="B24" s="25"/>
      <c r="C24" s="25"/>
      <c r="D24" s="25"/>
      <c r="E24" s="25"/>
      <c r="F24" s="25"/>
      <c r="G24" s="25"/>
      <c r="H24" s="25"/>
      <c r="I24" s="25"/>
      <c r="J24" s="25"/>
      <c r="K24" s="25"/>
      <c r="L24" s="25"/>
      <c r="M24" s="26"/>
      <c r="N24" s="26"/>
      <c r="O24" s="26"/>
      <c r="P24" s="26"/>
      <c r="Q24" s="26"/>
      <c r="R24" s="26"/>
      <c r="S24" s="26"/>
      <c r="T24" s="26"/>
      <c r="U24" s="26"/>
    </row>
    <row r="25" spans="1:21">
      <c r="A25" s="25"/>
      <c r="B25" s="25"/>
      <c r="C25" s="25"/>
      <c r="D25" s="25"/>
      <c r="E25" s="25"/>
      <c r="F25" s="25"/>
      <c r="G25" s="25"/>
      <c r="H25" s="25"/>
      <c r="I25" s="25"/>
      <c r="J25" s="25"/>
      <c r="K25" s="25"/>
      <c r="L25" s="25"/>
      <c r="M25" s="26"/>
      <c r="N25" s="26"/>
      <c r="O25" s="26"/>
      <c r="P25" s="26"/>
      <c r="Q25" s="26"/>
      <c r="R25" s="26"/>
      <c r="S25" s="26"/>
      <c r="T25" s="26"/>
      <c r="U25" s="26"/>
    </row>
    <row r="26" spans="1:21">
      <c r="A26" s="25"/>
      <c r="B26" s="25"/>
      <c r="C26" s="25"/>
      <c r="D26" s="25"/>
      <c r="E26" s="25"/>
      <c r="F26" s="25"/>
      <c r="G26" s="25"/>
      <c r="H26" s="25"/>
      <c r="I26" s="25"/>
      <c r="J26" s="25"/>
      <c r="K26" s="25"/>
      <c r="L26" s="25"/>
      <c r="M26" s="26"/>
      <c r="N26" s="26"/>
      <c r="O26" s="26"/>
      <c r="P26" s="26"/>
      <c r="Q26" s="26"/>
      <c r="R26" s="26"/>
      <c r="S26" s="26"/>
      <c r="T26" s="26"/>
      <c r="U26" s="26"/>
    </row>
    <row r="27" spans="1:21" ht="18.5">
      <c r="A27" s="38" t="s">
        <v>121</v>
      </c>
      <c r="B27" s="39"/>
      <c r="C27" s="39"/>
      <c r="D27" s="39"/>
      <c r="E27" s="39"/>
      <c r="F27" s="39"/>
      <c r="G27" s="39"/>
      <c r="H27" s="39"/>
      <c r="I27" s="39"/>
      <c r="J27" s="39"/>
      <c r="K27" s="39"/>
      <c r="L27" s="39"/>
      <c r="M27" s="39"/>
      <c r="N27" s="39"/>
      <c r="O27" s="39"/>
      <c r="P27" s="39"/>
      <c r="Q27" s="39"/>
      <c r="R27" s="39"/>
      <c r="S27" s="39"/>
      <c r="T27" s="39"/>
      <c r="U27" s="39"/>
    </row>
    <row r="28" spans="1:21">
      <c r="A28" s="25"/>
      <c r="B28" s="25"/>
      <c r="C28" s="25"/>
      <c r="D28" s="25"/>
      <c r="E28" s="25"/>
      <c r="F28" s="25"/>
      <c r="G28" s="25"/>
      <c r="H28" s="25"/>
      <c r="I28" s="25"/>
      <c r="J28" s="25"/>
      <c r="K28" s="25"/>
      <c r="L28" s="25"/>
      <c r="M28" s="26"/>
      <c r="N28" s="26"/>
      <c r="O28" s="26"/>
      <c r="P28" s="26"/>
      <c r="Q28" s="26"/>
      <c r="R28" s="26"/>
      <c r="S28" s="26"/>
      <c r="T28" s="26"/>
      <c r="U28" s="26"/>
    </row>
    <row r="29" spans="1:21">
      <c r="A29" s="25"/>
      <c r="B29" s="25"/>
      <c r="C29" s="25"/>
      <c r="D29" s="25"/>
      <c r="E29" s="25"/>
      <c r="F29" s="25"/>
      <c r="G29" s="25"/>
      <c r="H29" s="25"/>
      <c r="I29" s="25"/>
      <c r="J29" s="25"/>
      <c r="K29" s="25"/>
      <c r="L29" s="25"/>
      <c r="M29" s="26"/>
      <c r="N29" s="26"/>
      <c r="O29" s="26"/>
      <c r="P29" s="26"/>
      <c r="Q29" s="26"/>
      <c r="R29" s="26"/>
      <c r="S29" s="26"/>
      <c r="T29" s="26"/>
      <c r="U29" s="26"/>
    </row>
    <row r="30" spans="1:21">
      <c r="A30" s="25"/>
      <c r="B30" s="25"/>
      <c r="C30" s="25"/>
      <c r="D30" s="25"/>
      <c r="E30" s="25"/>
      <c r="F30" s="25"/>
      <c r="G30" s="25"/>
      <c r="H30" s="25"/>
      <c r="I30" s="25"/>
      <c r="J30" s="25"/>
      <c r="K30" s="25"/>
      <c r="L30" s="25"/>
      <c r="M30" s="26"/>
      <c r="N30" s="26"/>
      <c r="O30" s="26"/>
      <c r="P30" s="26"/>
      <c r="Q30" s="26"/>
      <c r="R30" s="26"/>
      <c r="S30" s="26"/>
      <c r="T30" s="26"/>
      <c r="U30" s="26"/>
    </row>
    <row r="31" spans="1:21">
      <c r="A31" s="25"/>
      <c r="B31" s="25"/>
      <c r="C31" s="25"/>
      <c r="D31" s="25"/>
      <c r="E31" s="25"/>
      <c r="F31" s="25"/>
      <c r="G31" s="25"/>
      <c r="H31" s="25"/>
      <c r="I31" s="25"/>
      <c r="J31" s="25"/>
      <c r="K31" s="25"/>
      <c r="L31" s="25"/>
      <c r="M31" s="26"/>
      <c r="N31" s="26"/>
      <c r="O31" s="26"/>
      <c r="P31" s="26"/>
      <c r="Q31" s="26"/>
      <c r="R31" s="26"/>
      <c r="S31" s="26"/>
      <c r="T31" s="26"/>
      <c r="U31" s="26"/>
    </row>
    <row r="32" spans="1:21">
      <c r="A32" s="25"/>
      <c r="B32" s="25"/>
      <c r="C32" s="25"/>
      <c r="D32" s="25"/>
      <c r="E32" s="25"/>
      <c r="F32" s="25"/>
      <c r="G32" s="25"/>
      <c r="H32" s="25"/>
      <c r="I32" s="25"/>
      <c r="J32" s="25"/>
      <c r="K32" s="25"/>
      <c r="L32" s="25"/>
      <c r="M32" s="26"/>
      <c r="N32" s="26"/>
      <c r="O32" s="26"/>
      <c r="P32" s="26"/>
      <c r="Q32" s="26"/>
      <c r="R32" s="26"/>
      <c r="S32" s="26"/>
      <c r="T32" s="26"/>
      <c r="U32" s="26"/>
    </row>
    <row r="33" spans="1:21">
      <c r="A33" s="25"/>
      <c r="B33" s="25"/>
      <c r="C33" s="25"/>
      <c r="D33" s="25"/>
      <c r="E33" s="25"/>
      <c r="F33" s="25"/>
      <c r="G33" s="25"/>
      <c r="H33" s="25"/>
      <c r="I33" s="25"/>
      <c r="J33" s="25"/>
      <c r="K33" s="25"/>
      <c r="L33" s="25"/>
      <c r="M33" s="26"/>
      <c r="N33" s="26"/>
      <c r="O33" s="26"/>
      <c r="P33" s="26"/>
      <c r="Q33" s="26"/>
      <c r="R33" s="26"/>
      <c r="S33" s="26"/>
      <c r="T33" s="26"/>
      <c r="U33" s="26"/>
    </row>
    <row r="34" spans="1:21">
      <c r="A34" s="25"/>
      <c r="B34" s="25"/>
      <c r="C34" s="25"/>
      <c r="D34" s="25"/>
      <c r="E34" s="25"/>
      <c r="F34" s="25"/>
      <c r="G34" s="25"/>
      <c r="H34" s="25"/>
      <c r="I34" s="25"/>
      <c r="J34" s="25"/>
      <c r="K34" s="25"/>
      <c r="L34" s="25"/>
      <c r="M34" s="26"/>
      <c r="N34" s="26"/>
      <c r="O34" s="26"/>
      <c r="P34" s="26"/>
      <c r="Q34" s="26"/>
      <c r="R34" s="26"/>
      <c r="S34" s="26"/>
      <c r="T34" s="26"/>
      <c r="U34" s="26"/>
    </row>
    <row r="35" spans="1:21">
      <c r="A35" s="26"/>
      <c r="B35" s="26"/>
      <c r="C35" s="26"/>
      <c r="D35" s="26"/>
      <c r="E35" s="26"/>
      <c r="F35" s="26"/>
      <c r="G35" s="26"/>
      <c r="H35" s="26"/>
      <c r="I35" s="26"/>
      <c r="J35" s="26"/>
      <c r="K35" s="26"/>
      <c r="L35" s="26"/>
      <c r="M35" s="26"/>
      <c r="N35" s="26"/>
      <c r="O35" s="26"/>
      <c r="P35" s="26"/>
      <c r="Q35" s="26"/>
      <c r="R35" s="26"/>
      <c r="S35" s="26"/>
      <c r="T35" s="26"/>
      <c r="U35" s="26"/>
    </row>
  </sheetData>
  <mergeCells count="3">
    <mergeCell ref="A1:U2"/>
    <mergeCell ref="A4:U4"/>
    <mergeCell ref="A27:U27"/>
  </mergeCells>
  <pageMargins left="0.7" right="0.7" top="0.78740157499999996" bottom="0.78740157499999996" header="0.3" footer="0.3"/>
  <pageSetup paperSize="9" scale="57" orientation="landscape" horizontalDpi="4294967293" verticalDpi="0" r:id="rId1"/>
  <drawing r:id="rId2"/>
  <extLst>
    <ext xmlns:x14="http://schemas.microsoft.com/office/spreadsheetml/2009/9/main" uri="{A8765BA9-456A-4dab-B4F3-ACF838C121DE}">
      <x14:slicerList>
        <x14:slicer r:id="rId3"/>
      </x14:slicerList>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3CDDB-2588-40E5-B6F7-C8FF7B2B787D}">
  <dimension ref="A1:J9"/>
  <sheetViews>
    <sheetView showGridLines="0" workbookViewId="0">
      <selection activeCell="J5" sqref="J5"/>
    </sheetView>
  </sheetViews>
  <sheetFormatPr baseColWidth="10" defaultRowHeight="10"/>
  <cols>
    <col min="1" max="1" width="14.1796875" style="2" customWidth="1"/>
    <col min="2" max="2" width="10.90625" style="2"/>
    <col min="3" max="3" width="6.08984375" style="2" customWidth="1"/>
    <col min="4" max="4" width="6" style="2" customWidth="1"/>
    <col min="5" max="6" width="10.90625" style="2"/>
    <col min="7" max="7" width="19" style="2" customWidth="1"/>
    <col min="8" max="9" width="8.1796875" style="2" customWidth="1"/>
    <col min="10" max="10" width="15" style="2" customWidth="1"/>
    <col min="11" max="16384" width="10.90625" style="2"/>
  </cols>
  <sheetData>
    <row r="1" spans="1:10">
      <c r="A1" s="24" t="s">
        <v>15</v>
      </c>
      <c r="B1" s="24" t="s">
        <v>2</v>
      </c>
      <c r="C1" s="24" t="s">
        <v>58</v>
      </c>
      <c r="D1" s="24" t="s">
        <v>49</v>
      </c>
      <c r="E1" s="24" t="s">
        <v>62</v>
      </c>
      <c r="F1" s="24" t="s">
        <v>63</v>
      </c>
      <c r="G1" s="24" t="s">
        <v>56</v>
      </c>
      <c r="H1" s="24" t="s">
        <v>47</v>
      </c>
      <c r="I1" s="24" t="s">
        <v>57</v>
      </c>
      <c r="J1" s="24" t="s">
        <v>48</v>
      </c>
    </row>
    <row r="2" spans="1:10">
      <c r="A2" s="23" t="s">
        <v>16</v>
      </c>
      <c r="B2" s="23" t="s">
        <v>23</v>
      </c>
      <c r="C2" s="23" t="s">
        <v>55</v>
      </c>
      <c r="D2" s="23" t="s">
        <v>59</v>
      </c>
      <c r="E2" s="23" t="s">
        <v>59</v>
      </c>
      <c r="F2" s="23" t="s">
        <v>67</v>
      </c>
      <c r="G2" s="23" t="s">
        <v>72</v>
      </c>
      <c r="H2" s="23" t="s">
        <v>52</v>
      </c>
      <c r="I2" s="23" t="s">
        <v>78</v>
      </c>
      <c r="J2" s="23" t="s">
        <v>81</v>
      </c>
    </row>
    <row r="3" spans="1:10">
      <c r="A3" s="23" t="s">
        <v>17</v>
      </c>
      <c r="B3" s="23" t="s">
        <v>23</v>
      </c>
      <c r="C3" s="23" t="s">
        <v>51</v>
      </c>
      <c r="D3" s="23" t="s">
        <v>60</v>
      </c>
      <c r="E3" s="23" t="s">
        <v>60</v>
      </c>
      <c r="F3" s="23" t="s">
        <v>64</v>
      </c>
      <c r="G3" s="23" t="s">
        <v>73</v>
      </c>
      <c r="H3" s="23" t="s">
        <v>54</v>
      </c>
      <c r="I3" s="23" t="s">
        <v>79</v>
      </c>
      <c r="J3" s="23" t="s">
        <v>84</v>
      </c>
    </row>
    <row r="4" spans="1:10">
      <c r="A4" s="23" t="s">
        <v>18</v>
      </c>
      <c r="B4" s="23" t="s">
        <v>23</v>
      </c>
      <c r="C4" s="23"/>
      <c r="D4" s="23" t="s">
        <v>61</v>
      </c>
      <c r="E4" s="23" t="s">
        <v>61</v>
      </c>
      <c r="F4" s="23" t="s">
        <v>65</v>
      </c>
      <c r="G4" s="23" t="s">
        <v>74</v>
      </c>
      <c r="H4" s="23" t="s">
        <v>50</v>
      </c>
      <c r="I4" s="23" t="s">
        <v>80</v>
      </c>
      <c r="J4" s="23" t="s">
        <v>82</v>
      </c>
    </row>
    <row r="5" spans="1:10">
      <c r="A5" s="23" t="s">
        <v>19</v>
      </c>
      <c r="B5" s="23" t="s">
        <v>24</v>
      </c>
      <c r="C5" s="23"/>
      <c r="D5" s="23"/>
      <c r="E5" s="23"/>
      <c r="F5" s="23" t="s">
        <v>66</v>
      </c>
      <c r="G5" s="23" t="s">
        <v>75</v>
      </c>
      <c r="H5" s="23" t="s">
        <v>53</v>
      </c>
      <c r="I5" s="23"/>
      <c r="J5" s="23" t="s">
        <v>83</v>
      </c>
    </row>
    <row r="6" spans="1:10">
      <c r="A6" s="23" t="s">
        <v>20</v>
      </c>
      <c r="B6" s="23" t="s">
        <v>24</v>
      </c>
      <c r="C6" s="23"/>
      <c r="D6" s="23"/>
      <c r="E6" s="23"/>
      <c r="F6" s="23" t="s">
        <v>71</v>
      </c>
      <c r="G6" s="23" t="s">
        <v>76</v>
      </c>
      <c r="H6" s="23"/>
      <c r="I6" s="23"/>
      <c r="J6" s="23" t="s">
        <v>85</v>
      </c>
    </row>
    <row r="7" spans="1:10">
      <c r="A7" s="23" t="s">
        <v>21</v>
      </c>
      <c r="B7" s="23" t="s">
        <v>25</v>
      </c>
      <c r="C7" s="23"/>
      <c r="D7" s="23"/>
      <c r="E7" s="23"/>
      <c r="F7" s="23" t="s">
        <v>68</v>
      </c>
      <c r="G7" s="23" t="s">
        <v>77</v>
      </c>
      <c r="H7" s="23"/>
      <c r="I7" s="23"/>
      <c r="J7" s="23"/>
    </row>
    <row r="8" spans="1:10">
      <c r="A8" s="23" t="s">
        <v>22</v>
      </c>
      <c r="B8" s="23" t="s">
        <v>25</v>
      </c>
      <c r="C8" s="23"/>
      <c r="D8" s="23"/>
      <c r="E8" s="23"/>
      <c r="F8" s="23" t="s">
        <v>69</v>
      </c>
      <c r="G8" s="23"/>
      <c r="H8" s="23"/>
      <c r="I8" s="23"/>
      <c r="J8" s="23"/>
    </row>
    <row r="9" spans="1:10">
      <c r="A9" s="23" t="s">
        <v>0</v>
      </c>
      <c r="B9" s="23" t="s">
        <v>27</v>
      </c>
      <c r="C9" s="23"/>
      <c r="D9" s="23"/>
      <c r="E9" s="23"/>
      <c r="F9" s="23" t="s">
        <v>70</v>
      </c>
      <c r="G9" s="23"/>
      <c r="H9" s="23"/>
      <c r="I9" s="23"/>
      <c r="J9" s="23"/>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C6D55-5E47-4E54-A8DC-316CE47FCE1F}">
  <sheetPr>
    <tabColor rgb="FF33CC33"/>
  </sheetPr>
  <dimension ref="A1:P16"/>
  <sheetViews>
    <sheetView showGridLines="0" topLeftCell="C1" workbookViewId="0">
      <selection activeCell="C23" sqref="C23"/>
    </sheetView>
  </sheetViews>
  <sheetFormatPr baseColWidth="10" defaultRowHeight="14"/>
  <cols>
    <col min="1" max="2" width="16.453125" style="1" customWidth="1"/>
    <col min="3" max="3" width="12.08984375" style="1" customWidth="1"/>
    <col min="4" max="7" width="8.6328125" style="1" customWidth="1"/>
    <col min="8" max="8" width="8.90625" style="1" customWidth="1"/>
    <col min="9" max="15" width="8.6328125" style="1" customWidth="1"/>
    <col min="16" max="16384" width="10.90625" style="1"/>
  </cols>
  <sheetData>
    <row r="1" spans="1:16">
      <c r="A1" s="5" t="s">
        <v>42</v>
      </c>
      <c r="B1" s="5"/>
      <c r="C1" s="5"/>
      <c r="D1" s="5"/>
      <c r="E1" s="5"/>
      <c r="F1" s="5"/>
      <c r="G1" s="5"/>
      <c r="H1" s="5"/>
      <c r="I1" s="5"/>
      <c r="J1" s="5"/>
      <c r="K1" s="5"/>
      <c r="L1" s="5"/>
      <c r="M1" s="5"/>
      <c r="N1" s="5"/>
      <c r="O1" s="5"/>
      <c r="P1" s="15" t="s">
        <v>45</v>
      </c>
    </row>
    <row r="2" spans="1:16" s="3" customFormat="1" ht="13.5" customHeight="1">
      <c r="A2" s="3" t="s">
        <v>1</v>
      </c>
      <c r="B2" s="3" t="s">
        <v>28</v>
      </c>
      <c r="C2" s="3" t="s">
        <v>2</v>
      </c>
      <c r="D2" s="4" t="s">
        <v>3</v>
      </c>
      <c r="E2" s="4" t="s">
        <v>4</v>
      </c>
      <c r="F2" s="4" t="s">
        <v>5</v>
      </c>
      <c r="G2" s="4" t="s">
        <v>6</v>
      </c>
      <c r="H2" s="4" t="s">
        <v>7</v>
      </c>
      <c r="I2" s="4" t="s">
        <v>8</v>
      </c>
      <c r="J2" s="4" t="s">
        <v>9</v>
      </c>
      <c r="K2" s="4" t="s">
        <v>10</v>
      </c>
      <c r="L2" s="4" t="s">
        <v>11</v>
      </c>
      <c r="M2" s="4" t="s">
        <v>12</v>
      </c>
      <c r="N2" s="4" t="s">
        <v>13</v>
      </c>
      <c r="O2" s="4" t="s">
        <v>14</v>
      </c>
      <c r="P2" s="16" t="s">
        <v>26</v>
      </c>
    </row>
    <row r="3" spans="1:16" s="2" customFormat="1" ht="13.5" customHeight="1">
      <c r="A3" s="2" t="s">
        <v>16</v>
      </c>
      <c r="B3" s="2" t="s">
        <v>29</v>
      </c>
      <c r="C3" s="2" t="str">
        <f>+VLOOKUP(Tabelle35[[#This Row],[Company]],'Drop Downs'!A:B,2,FALSE)</f>
        <v>Europe</v>
      </c>
      <c r="D3" s="6">
        <v>1000</v>
      </c>
      <c r="E3" s="6">
        <f>+Tabelle35[[#This Row],[Jan-22]]*0.99</f>
        <v>990</v>
      </c>
      <c r="F3" s="6">
        <f>+Tabelle35[[#This Row],[Feb-22]]*0.99</f>
        <v>980.1</v>
      </c>
      <c r="G3" s="6">
        <f>+Tabelle35[[#This Row],[Mar-22]]*0.99</f>
        <v>970.29899999999998</v>
      </c>
      <c r="H3" s="6">
        <f>+Tabelle35[[#This Row],[Apr-22]]*0.99</f>
        <v>960.59600999999998</v>
      </c>
      <c r="I3" s="6">
        <f>+Tabelle35[[#This Row],[May-22]]*0.99</f>
        <v>950.99004989999992</v>
      </c>
      <c r="J3" s="6">
        <f>+Tabelle35[[#This Row],[Jun-22]]*0.99</f>
        <v>941.48014940099995</v>
      </c>
      <c r="K3" s="6">
        <f>+Tabelle35[[#This Row],[Jul-22]]*0.99</f>
        <v>932.06534790698993</v>
      </c>
      <c r="L3" s="6">
        <f>+Tabelle35[[#This Row],[Aug-22]]*0.99</f>
        <v>922.74469442791997</v>
      </c>
      <c r="M3" s="6">
        <f>+Tabelle35[[#This Row],[Sep-22]]*0.99</f>
        <v>913.51724748364074</v>
      </c>
      <c r="N3" s="6">
        <f>+Tabelle35[[#This Row],[Oct-22]]*0.99</f>
        <v>904.38207500880435</v>
      </c>
      <c r="O3" s="6">
        <f>+Tabelle35[[#This Row],[Nov-22]]*0.99</f>
        <v>895.33825425871635</v>
      </c>
      <c r="P3" s="6">
        <f>Tabelle35[[#This Row],[Dec-22]]</f>
        <v>895.33825425871635</v>
      </c>
    </row>
    <row r="4" spans="1:16" s="2" customFormat="1" ht="13.5" customHeight="1">
      <c r="A4" s="2" t="s">
        <v>16</v>
      </c>
      <c r="B4" s="2" t="s">
        <v>31</v>
      </c>
      <c r="C4" s="7" t="str">
        <f>+VLOOKUP(Tabelle35[[#This Row],[Company]],'Drop Downs'!A:B,2,FALSE)</f>
        <v>Europe</v>
      </c>
      <c r="D4" s="6">
        <v>50</v>
      </c>
      <c r="E4" s="6">
        <f>+Tabelle35[[#This Row],[Jan-22]]*0.99</f>
        <v>49.5</v>
      </c>
      <c r="F4" s="6">
        <f>+Tabelle35[[#This Row],[Feb-22]]*0.99</f>
        <v>49.005000000000003</v>
      </c>
      <c r="G4" s="6">
        <f>+Tabelle35[[#This Row],[Mar-22]]*0.99</f>
        <v>48.514949999999999</v>
      </c>
      <c r="H4" s="6">
        <f>+Tabelle35[[#This Row],[Apr-22]]*0.99</f>
        <v>48.0298005</v>
      </c>
      <c r="I4" s="6">
        <f>+Tabelle35[[#This Row],[May-22]]*0.99</f>
        <v>47.549502494999999</v>
      </c>
      <c r="J4" s="6">
        <f>+Tabelle35[[#This Row],[Jun-22]]*0.99</f>
        <v>47.074007470049999</v>
      </c>
      <c r="K4" s="6">
        <f>+Tabelle35[[#This Row],[Jul-22]]*0.99</f>
        <v>46.603267395349498</v>
      </c>
      <c r="L4" s="6">
        <f>+Tabelle35[[#This Row],[Aug-22]]*0.99</f>
        <v>46.137234721396005</v>
      </c>
      <c r="M4" s="6">
        <f>+Tabelle35[[#This Row],[Sep-22]]*0.99</f>
        <v>45.675862374182046</v>
      </c>
      <c r="N4" s="6">
        <f>+Tabelle35[[#This Row],[Oct-22]]*0.99</f>
        <v>45.219103750440226</v>
      </c>
      <c r="O4" s="6">
        <f>+Tabelle35[[#This Row],[Nov-22]]*0.99</f>
        <v>44.76691271293582</v>
      </c>
      <c r="P4" s="6">
        <f>Tabelle35[[#This Row],[Dec-22]]</f>
        <v>44.76691271293582</v>
      </c>
    </row>
    <row r="5" spans="1:16" s="2" customFormat="1" ht="13.5" customHeight="1">
      <c r="A5" s="2" t="s">
        <v>16</v>
      </c>
      <c r="B5" s="2" t="s">
        <v>32</v>
      </c>
      <c r="C5" s="7" t="str">
        <f>+VLOOKUP(Tabelle35[[#This Row],[Company]],'Drop Downs'!A:B,2,FALSE)</f>
        <v>Europe</v>
      </c>
      <c r="D5" s="6">
        <v>50</v>
      </c>
      <c r="E5" s="6">
        <f>+Tabelle35[[#This Row],[Jan-22]]*0.99</f>
        <v>49.5</v>
      </c>
      <c r="F5" s="6">
        <f>+Tabelle35[[#This Row],[Feb-22]]*0.99</f>
        <v>49.005000000000003</v>
      </c>
      <c r="G5" s="6">
        <f>+Tabelle35[[#This Row],[Mar-22]]*0.99</f>
        <v>48.514949999999999</v>
      </c>
      <c r="H5" s="6">
        <f>+Tabelle35[[#This Row],[Apr-22]]*0.99</f>
        <v>48.0298005</v>
      </c>
      <c r="I5" s="6">
        <f>+Tabelle35[[#This Row],[May-22]]*0.99</f>
        <v>47.549502494999999</v>
      </c>
      <c r="J5" s="6">
        <f>+Tabelle35[[#This Row],[Jun-22]]*0.99</f>
        <v>47.074007470049999</v>
      </c>
      <c r="K5" s="6">
        <f>+Tabelle35[[#This Row],[Jul-22]]*0.99</f>
        <v>46.603267395349498</v>
      </c>
      <c r="L5" s="6">
        <f>+Tabelle35[[#This Row],[Aug-22]]*0.99</f>
        <v>46.137234721396005</v>
      </c>
      <c r="M5" s="6">
        <f>+Tabelle35[[#This Row],[Sep-22]]*0.99</f>
        <v>45.675862374182046</v>
      </c>
      <c r="N5" s="6">
        <f>+Tabelle35[[#This Row],[Oct-22]]*0.99</f>
        <v>45.219103750440226</v>
      </c>
      <c r="O5" s="6">
        <f>+Tabelle35[[#This Row],[Nov-22]]*0.99</f>
        <v>44.76691271293582</v>
      </c>
      <c r="P5" s="6">
        <f>Tabelle35[[#This Row],[Dec-22]]</f>
        <v>44.76691271293582</v>
      </c>
    </row>
    <row r="6" spans="1:16" s="2" customFormat="1" ht="13.5" customHeight="1">
      <c r="A6" s="2" t="s">
        <v>17</v>
      </c>
      <c r="B6" s="2" t="s">
        <v>33</v>
      </c>
      <c r="C6" s="2" t="str">
        <f>+VLOOKUP(Tabelle35[[#This Row],[Company]],'Drop Downs'!A:B,2,FALSE)</f>
        <v>Europe</v>
      </c>
      <c r="D6" s="2">
        <v>500</v>
      </c>
      <c r="E6" s="2">
        <f>+Tabelle35[[#This Row],[Jan-22]]*0.99</f>
        <v>495</v>
      </c>
      <c r="F6" s="6">
        <f>+Tabelle35[[#This Row],[Feb-22]]*0.99</f>
        <v>490.05</v>
      </c>
      <c r="G6" s="6">
        <f>+Tabelle35[[#This Row],[Mar-22]]*0.99</f>
        <v>485.14949999999999</v>
      </c>
      <c r="H6" s="6">
        <f>+Tabelle35[[#This Row],[Apr-22]]*0.99</f>
        <v>480.29800499999999</v>
      </c>
      <c r="I6" s="6">
        <f>+Tabelle35[[#This Row],[May-22]]*0.99</f>
        <v>475.49502494999996</v>
      </c>
      <c r="J6" s="6">
        <f>+Tabelle35[[#This Row],[Jun-22]]*0.99</f>
        <v>470.74007470049997</v>
      </c>
      <c r="K6" s="6">
        <f>+Tabelle35[[#This Row],[Jul-22]]*0.99</f>
        <v>466.03267395349496</v>
      </c>
      <c r="L6" s="6">
        <f>+Tabelle35[[#This Row],[Aug-22]]*0.99</f>
        <v>461.37234721395998</v>
      </c>
      <c r="M6" s="6">
        <f>+Tabelle35[[#This Row],[Sep-22]]*0.99</f>
        <v>456.75862374182037</v>
      </c>
      <c r="N6" s="6">
        <f>+Tabelle35[[#This Row],[Oct-22]]*0.99</f>
        <v>452.19103750440217</v>
      </c>
      <c r="O6" s="6">
        <f>+Tabelle35[[#This Row],[Nov-22]]*0.99</f>
        <v>447.66912712935817</v>
      </c>
      <c r="P6" s="6">
        <f>Tabelle35[[#This Row],[Dec-22]]</f>
        <v>447.66912712935817</v>
      </c>
    </row>
    <row r="7" spans="1:16" s="2" customFormat="1" ht="13.5" customHeight="1">
      <c r="A7" s="2" t="s">
        <v>18</v>
      </c>
      <c r="B7" s="2" t="s">
        <v>34</v>
      </c>
      <c r="C7" s="2" t="str">
        <f>+VLOOKUP(Tabelle35[[#This Row],[Company]],'Drop Downs'!A:B,2,FALSE)</f>
        <v>Europe</v>
      </c>
      <c r="D7" s="2">
        <v>200</v>
      </c>
      <c r="E7" s="2">
        <f>+Tabelle35[[#This Row],[Jan-22]]*0.99</f>
        <v>198</v>
      </c>
      <c r="F7" s="6">
        <f>+Tabelle35[[#This Row],[Feb-22]]*0.99</f>
        <v>196.02</v>
      </c>
      <c r="G7" s="6">
        <f>+Tabelle35[[#This Row],[Mar-22]]*0.99</f>
        <v>194.0598</v>
      </c>
      <c r="H7" s="6">
        <f>+Tabelle35[[#This Row],[Apr-22]]*0.99</f>
        <v>192.119202</v>
      </c>
      <c r="I7" s="6">
        <f>+Tabelle35[[#This Row],[May-22]]*0.99</f>
        <v>190.19800997999999</v>
      </c>
      <c r="J7" s="6">
        <f>+Tabelle35[[#This Row],[Jun-22]]*0.99</f>
        <v>188.2960298802</v>
      </c>
      <c r="K7" s="6">
        <f>+Tabelle35[[#This Row],[Jul-22]]*0.99</f>
        <v>186.41306958139799</v>
      </c>
      <c r="L7" s="6">
        <f>+Tabelle35[[#This Row],[Aug-22]]*0.99</f>
        <v>184.54893888558402</v>
      </c>
      <c r="M7" s="6">
        <f>+Tabelle35[[#This Row],[Sep-22]]*0.99</f>
        <v>182.70344949672818</v>
      </c>
      <c r="N7" s="6">
        <f>+Tabelle35[[#This Row],[Oct-22]]*0.99</f>
        <v>180.8764150017609</v>
      </c>
      <c r="O7" s="6">
        <f>+Tabelle35[[#This Row],[Nov-22]]*0.99</f>
        <v>179.06765085174328</v>
      </c>
      <c r="P7" s="6">
        <f>Tabelle35[[#This Row],[Dec-22]]</f>
        <v>179.06765085174328</v>
      </c>
    </row>
    <row r="8" spans="1:16" s="2" customFormat="1" ht="13.5" customHeight="1">
      <c r="A8" s="2" t="s">
        <v>18</v>
      </c>
      <c r="B8" s="2" t="s">
        <v>35</v>
      </c>
      <c r="C8" s="7" t="str">
        <f>+VLOOKUP(Tabelle35[[#This Row],[Company]],'Drop Downs'!A:B,2,FALSE)</f>
        <v>Europe</v>
      </c>
      <c r="D8" s="2">
        <v>20</v>
      </c>
      <c r="E8" s="6">
        <f>+Tabelle35[[#This Row],[Jan-22]]*0.99</f>
        <v>19.8</v>
      </c>
      <c r="F8" s="6">
        <f>+Tabelle35[[#This Row],[Feb-22]]*0.99</f>
        <v>19.602</v>
      </c>
      <c r="G8" s="6">
        <f>+Tabelle35[[#This Row],[Mar-22]]*0.99</f>
        <v>19.40598</v>
      </c>
      <c r="H8" s="6">
        <f>+Tabelle35[[#This Row],[Apr-22]]*0.99</f>
        <v>19.211920199999998</v>
      </c>
      <c r="I8" s="6">
        <f>+Tabelle35[[#This Row],[May-22]]*0.99</f>
        <v>19.019800997999997</v>
      </c>
      <c r="J8" s="6">
        <f>+Tabelle35[[#This Row],[Jun-22]]*0.99</f>
        <v>18.829602988019996</v>
      </c>
      <c r="K8" s="6">
        <f>+Tabelle35[[#This Row],[Jul-22]]*0.99</f>
        <v>18.641306958139797</v>
      </c>
      <c r="L8" s="6">
        <f>+Tabelle35[[#This Row],[Aug-22]]*0.99</f>
        <v>18.454893888558399</v>
      </c>
      <c r="M8" s="6">
        <f>+Tabelle35[[#This Row],[Sep-22]]*0.99</f>
        <v>18.270344949672815</v>
      </c>
      <c r="N8" s="6">
        <f>+Tabelle35[[#This Row],[Oct-22]]*0.99</f>
        <v>18.087641500176087</v>
      </c>
      <c r="O8" s="6">
        <f>+Tabelle35[[#This Row],[Nov-22]]*0.99</f>
        <v>17.906765085174325</v>
      </c>
      <c r="P8" s="6">
        <f>Tabelle35[[#This Row],[Dec-22]]</f>
        <v>17.906765085174325</v>
      </c>
    </row>
    <row r="9" spans="1:16" s="2" customFormat="1" ht="13.5" customHeight="1">
      <c r="A9" s="2" t="s">
        <v>18</v>
      </c>
      <c r="B9" s="2" t="s">
        <v>36</v>
      </c>
      <c r="C9" s="7" t="str">
        <f>+VLOOKUP(Tabelle35[[#This Row],[Company]],'Drop Downs'!A:B,2,FALSE)</f>
        <v>Europe</v>
      </c>
      <c r="D9" s="2">
        <v>20</v>
      </c>
      <c r="E9" s="6">
        <f>+Tabelle35[[#This Row],[Jan-22]]*0.99</f>
        <v>19.8</v>
      </c>
      <c r="F9" s="6">
        <f>+Tabelle35[[#This Row],[Feb-22]]*0.99</f>
        <v>19.602</v>
      </c>
      <c r="G9" s="6">
        <f>+Tabelle35[[#This Row],[Mar-22]]*0.99</f>
        <v>19.40598</v>
      </c>
      <c r="H9" s="6">
        <f>+Tabelle35[[#This Row],[Apr-22]]*0.99</f>
        <v>19.211920199999998</v>
      </c>
      <c r="I9" s="6">
        <f>+Tabelle35[[#This Row],[May-22]]*0.99</f>
        <v>19.019800997999997</v>
      </c>
      <c r="J9" s="6">
        <f>+Tabelle35[[#This Row],[Jun-22]]*0.99</f>
        <v>18.829602988019996</v>
      </c>
      <c r="K9" s="6">
        <f>+Tabelle35[[#This Row],[Jul-22]]*0.99</f>
        <v>18.641306958139797</v>
      </c>
      <c r="L9" s="6">
        <f>+Tabelle35[[#This Row],[Aug-22]]*0.99</f>
        <v>18.454893888558399</v>
      </c>
      <c r="M9" s="6">
        <f>+Tabelle35[[#This Row],[Sep-22]]*0.99</f>
        <v>18.270344949672815</v>
      </c>
      <c r="N9" s="6">
        <f>+Tabelle35[[#This Row],[Oct-22]]*0.99</f>
        <v>18.087641500176087</v>
      </c>
      <c r="O9" s="6">
        <f>+Tabelle35[[#This Row],[Nov-22]]*0.99</f>
        <v>17.906765085174325</v>
      </c>
      <c r="P9" s="6">
        <f>Tabelle35[[#This Row],[Dec-22]]</f>
        <v>17.906765085174325</v>
      </c>
    </row>
    <row r="10" spans="1:16" s="2" customFormat="1" ht="13.5" customHeight="1">
      <c r="A10" s="2" t="s">
        <v>19</v>
      </c>
      <c r="B10" s="2" t="s">
        <v>30</v>
      </c>
      <c r="C10" s="2" t="str">
        <f>+VLOOKUP(Tabelle35[[#This Row],[Company]],'Drop Downs'!A:B,2,FALSE)</f>
        <v>Americas</v>
      </c>
      <c r="D10" s="2">
        <v>150</v>
      </c>
      <c r="E10" s="6">
        <f>+Tabelle35[[#This Row],[Jan-22]]*0.99</f>
        <v>148.5</v>
      </c>
      <c r="F10" s="6">
        <f>+Tabelle35[[#This Row],[Feb-22]]*0.99</f>
        <v>147.01499999999999</v>
      </c>
      <c r="G10" s="6">
        <f>+Tabelle35[[#This Row],[Mar-22]]*0.99</f>
        <v>145.54485</v>
      </c>
      <c r="H10" s="6">
        <f>+Tabelle35[[#This Row],[Apr-22]]*0.99</f>
        <v>144.08940150000001</v>
      </c>
      <c r="I10" s="6">
        <f>+Tabelle35[[#This Row],[May-22]]*0.99</f>
        <v>142.64850748500001</v>
      </c>
      <c r="J10" s="6">
        <f>+Tabelle35[[#This Row],[Jun-22]]*0.99</f>
        <v>141.22202241015</v>
      </c>
      <c r="K10" s="6">
        <f>+Tabelle35[[#This Row],[Jul-22]]*0.99</f>
        <v>139.8098021860485</v>
      </c>
      <c r="L10" s="6">
        <f>+Tabelle35[[#This Row],[Aug-22]]*0.99</f>
        <v>138.41170416418802</v>
      </c>
      <c r="M10" s="6">
        <f>+Tabelle35[[#This Row],[Sep-22]]*0.99</f>
        <v>137.02758712254615</v>
      </c>
      <c r="N10" s="6">
        <f>+Tabelle35[[#This Row],[Oct-22]]*0.99</f>
        <v>135.65731125132069</v>
      </c>
      <c r="O10" s="6">
        <f>+Tabelle35[[#This Row],[Nov-22]]*0.99</f>
        <v>134.30073813880747</v>
      </c>
      <c r="P10" s="6">
        <f>Tabelle35[[#This Row],[Dec-22]]</f>
        <v>134.30073813880747</v>
      </c>
    </row>
    <row r="11" spans="1:16" s="2" customFormat="1" ht="13.5" customHeight="1">
      <c r="A11" s="2" t="s">
        <v>20</v>
      </c>
      <c r="B11" s="2" t="s">
        <v>37</v>
      </c>
      <c r="C11" s="2" t="str">
        <f>+VLOOKUP(Tabelle35[[#This Row],[Company]],'Drop Downs'!A:B,2,FALSE)</f>
        <v>Americas</v>
      </c>
      <c r="D11" s="2">
        <v>20</v>
      </c>
      <c r="E11" s="6">
        <f>+Tabelle35[[#This Row],[Jan-22]]*0.99</f>
        <v>19.8</v>
      </c>
      <c r="F11" s="6">
        <f>+Tabelle35[[#This Row],[Feb-22]]*0.99</f>
        <v>19.602</v>
      </c>
      <c r="G11" s="6">
        <f>+Tabelle35[[#This Row],[Mar-22]]*0.99</f>
        <v>19.40598</v>
      </c>
      <c r="H11" s="6">
        <f>+Tabelle35[[#This Row],[Apr-22]]*0.99</f>
        <v>19.211920199999998</v>
      </c>
      <c r="I11" s="6">
        <f>+Tabelle35[[#This Row],[May-22]]*0.99</f>
        <v>19.019800997999997</v>
      </c>
      <c r="J11" s="6">
        <f>+Tabelle35[[#This Row],[Jun-22]]*0.99</f>
        <v>18.829602988019996</v>
      </c>
      <c r="K11" s="6">
        <f>+Tabelle35[[#This Row],[Jul-22]]*0.99</f>
        <v>18.641306958139797</v>
      </c>
      <c r="L11" s="6">
        <f>+Tabelle35[[#This Row],[Aug-22]]*0.99</f>
        <v>18.454893888558399</v>
      </c>
      <c r="M11" s="6">
        <f>+Tabelle35[[#This Row],[Sep-22]]*0.99</f>
        <v>18.270344949672815</v>
      </c>
      <c r="N11" s="6">
        <f>+Tabelle35[[#This Row],[Oct-22]]*0.99</f>
        <v>18.087641500176087</v>
      </c>
      <c r="O11" s="6">
        <f>+Tabelle35[[#This Row],[Nov-22]]*0.99</f>
        <v>17.906765085174325</v>
      </c>
      <c r="P11" s="6">
        <f>Tabelle35[[#This Row],[Dec-22]]</f>
        <v>17.906765085174325</v>
      </c>
    </row>
    <row r="12" spans="1:16" s="2" customFormat="1" ht="13.5" customHeight="1">
      <c r="A12" s="2" t="s">
        <v>21</v>
      </c>
      <c r="B12" s="2" t="s">
        <v>38</v>
      </c>
      <c r="C12" s="2" t="str">
        <f>+VLOOKUP(Tabelle35[[#This Row],[Company]],'Drop Downs'!A:B,2,FALSE)</f>
        <v>Asia</v>
      </c>
      <c r="D12" s="2">
        <v>150</v>
      </c>
      <c r="E12" s="6">
        <f>+Tabelle35[[#This Row],[Jan-22]]*1.01</f>
        <v>151.5</v>
      </c>
      <c r="F12" s="6">
        <f>+Tabelle35[[#This Row],[Feb-22]]*1.01</f>
        <v>153.01500000000001</v>
      </c>
      <c r="G12" s="6">
        <f>+Tabelle35[[#This Row],[Mar-22]]*1.01</f>
        <v>154.54515000000001</v>
      </c>
      <c r="H12" s="6">
        <f>+Tabelle35[[#This Row],[Apr-22]]*1.01</f>
        <v>156.09060150000002</v>
      </c>
      <c r="I12" s="6">
        <f>+Tabelle35[[#This Row],[May-22]]*1.01</f>
        <v>157.65150751500002</v>
      </c>
      <c r="J12" s="6">
        <f>+Tabelle35[[#This Row],[Jun-22]]*1.01</f>
        <v>159.22802259015003</v>
      </c>
      <c r="K12" s="6">
        <f>+Tabelle35[[#This Row],[Jul-22]]*1.01</f>
        <v>160.82030281605154</v>
      </c>
      <c r="L12" s="6">
        <f>+Tabelle35[[#This Row],[Aug-22]]*1.01</f>
        <v>162.42850584421205</v>
      </c>
      <c r="M12" s="6">
        <f>+Tabelle35[[#This Row],[Sep-22]]*1.01</f>
        <v>164.05279090265418</v>
      </c>
      <c r="N12" s="6">
        <f>+Tabelle35[[#This Row],[Oct-22]]*1.01</f>
        <v>165.69331881168071</v>
      </c>
      <c r="O12" s="6">
        <f>+Tabelle35[[#This Row],[Nov-22]]*1.01</f>
        <v>167.35025199979751</v>
      </c>
      <c r="P12" s="6">
        <f>Tabelle35[[#This Row],[Dec-22]]</f>
        <v>167.35025199979751</v>
      </c>
    </row>
    <row r="13" spans="1:16" s="2" customFormat="1" ht="13.5" customHeight="1">
      <c r="A13" s="2" t="s">
        <v>21</v>
      </c>
      <c r="B13" s="2" t="s">
        <v>39</v>
      </c>
      <c r="C13" s="7" t="str">
        <f>+VLOOKUP(Tabelle35[[#This Row],[Company]],'Drop Downs'!A:B,2,FALSE)</f>
        <v>Asia</v>
      </c>
      <c r="D13" s="2">
        <v>30</v>
      </c>
      <c r="E13" s="6">
        <f>+Tabelle35[[#This Row],[Jan-22]]*1.01</f>
        <v>30.3</v>
      </c>
      <c r="F13" s="6">
        <f>+Tabelle35[[#This Row],[Feb-22]]*1.01</f>
        <v>30.603000000000002</v>
      </c>
      <c r="G13" s="6">
        <f>+Tabelle35[[#This Row],[Mar-22]]*1.01</f>
        <v>30.909030000000001</v>
      </c>
      <c r="H13" s="6">
        <f>+Tabelle35[[#This Row],[Apr-22]]*1.01</f>
        <v>31.218120300000002</v>
      </c>
      <c r="I13" s="6">
        <f>+Tabelle35[[#This Row],[May-22]]*1.01</f>
        <v>31.530301503000004</v>
      </c>
      <c r="J13" s="6">
        <f>+Tabelle35[[#This Row],[Jun-22]]*1.01</f>
        <v>31.845604518030004</v>
      </c>
      <c r="K13" s="6">
        <f>+Tabelle35[[#This Row],[Jul-22]]*1.01</f>
        <v>32.164060563210306</v>
      </c>
      <c r="L13" s="6">
        <f>+Tabelle35[[#This Row],[Aug-22]]*1.01</f>
        <v>32.485701168842411</v>
      </c>
      <c r="M13" s="6">
        <f>+Tabelle35[[#This Row],[Sep-22]]*1.01</f>
        <v>32.810558180530833</v>
      </c>
      <c r="N13" s="6">
        <f>+Tabelle35[[#This Row],[Oct-22]]*1.01</f>
        <v>33.138663762336144</v>
      </c>
      <c r="O13" s="6">
        <f>+Tabelle35[[#This Row],[Nov-22]]*1.01</f>
        <v>33.470050399959504</v>
      </c>
      <c r="P13" s="6">
        <f>Tabelle35[[#This Row],[Dec-22]]</f>
        <v>33.470050399959504</v>
      </c>
    </row>
    <row r="14" spans="1:16" s="2" customFormat="1" ht="13.5" customHeight="1">
      <c r="A14" s="2" t="s">
        <v>21</v>
      </c>
      <c r="B14" s="2" t="s">
        <v>40</v>
      </c>
      <c r="C14" s="7" t="str">
        <f>+VLOOKUP(Tabelle35[[#This Row],[Company]],'Drop Downs'!A:B,2,FALSE)</f>
        <v>Asia</v>
      </c>
      <c r="D14" s="2">
        <v>50</v>
      </c>
      <c r="E14" s="6">
        <f>+Tabelle35[[#This Row],[Jan-22]]*0.99</f>
        <v>49.5</v>
      </c>
      <c r="F14" s="6">
        <v>55</v>
      </c>
      <c r="G14" s="6">
        <v>55</v>
      </c>
      <c r="H14" s="6">
        <v>55</v>
      </c>
      <c r="I14" s="6">
        <v>56</v>
      </c>
      <c r="J14" s="6">
        <v>57</v>
      </c>
      <c r="K14" s="6">
        <v>58</v>
      </c>
      <c r="L14" s="6">
        <v>59</v>
      </c>
      <c r="M14" s="6">
        <v>59</v>
      </c>
      <c r="N14" s="6">
        <v>59</v>
      </c>
      <c r="O14" s="6">
        <v>59</v>
      </c>
      <c r="P14" s="6">
        <f>Tabelle35[[#This Row],[Dec-22]]</f>
        <v>59</v>
      </c>
    </row>
    <row r="15" spans="1:16" s="2" customFormat="1" ht="13.5" customHeight="1">
      <c r="A15" s="2" t="s">
        <v>22</v>
      </c>
      <c r="B15" s="2" t="s">
        <v>41</v>
      </c>
      <c r="C15" s="2" t="str">
        <f>+VLOOKUP(Tabelle35[[#This Row],[Company]],'Drop Downs'!A:B,2,FALSE)</f>
        <v>Asia</v>
      </c>
      <c r="D15" s="2">
        <v>250</v>
      </c>
      <c r="E15" s="6">
        <f>+Tabelle35[[#This Row],[Jan-22]]*1.01</f>
        <v>252.5</v>
      </c>
      <c r="F15" s="6">
        <f>+Tabelle35[[#This Row],[Feb-22]]*1.01</f>
        <v>255.02500000000001</v>
      </c>
      <c r="G15" s="6">
        <f>+Tabelle35[[#This Row],[Mar-22]]*1.01</f>
        <v>257.57524999999998</v>
      </c>
      <c r="H15" s="6">
        <f>+Tabelle35[[#This Row],[Apr-22]]*1.01</f>
        <v>260.1510025</v>
      </c>
      <c r="I15" s="6">
        <f>+Tabelle35[[#This Row],[May-22]]*1.01</f>
        <v>262.75251252499999</v>
      </c>
      <c r="J15" s="6">
        <f>+Tabelle35[[#This Row],[Jun-22]]*1.01</f>
        <v>265.38003765024996</v>
      </c>
      <c r="K15" s="6">
        <f>+Tabelle35[[#This Row],[Jul-22]]*1.01</f>
        <v>268.03383802675245</v>
      </c>
      <c r="L15" s="6">
        <f>+Tabelle35[[#This Row],[Aug-22]]*1.01</f>
        <v>270.71417640701998</v>
      </c>
      <c r="M15" s="6">
        <f>+Tabelle35[[#This Row],[Sep-22]]*1.01</f>
        <v>273.42131817109021</v>
      </c>
      <c r="N15" s="6">
        <f>+Tabelle35[[#This Row],[Oct-22]]*1.01</f>
        <v>276.15553135280112</v>
      </c>
      <c r="O15" s="6">
        <f>+Tabelle35[[#This Row],[Nov-22]]*1.01</f>
        <v>278.91708666632911</v>
      </c>
      <c r="P15" s="6">
        <f>Tabelle35[[#This Row],[Dec-22]]</f>
        <v>278.91708666632911</v>
      </c>
    </row>
    <row r="16" spans="1:16">
      <c r="A16" s="17" t="s">
        <v>0</v>
      </c>
      <c r="B16" s="17"/>
      <c r="C16" s="17" t="str">
        <f>+VLOOKUP(Tabelle35[[#This Row],[Company]],'Drop Downs'!A:B,2,FALSE)</f>
        <v>All</v>
      </c>
      <c r="D16" s="17">
        <f>+SUBTOTAL(9,D3:D15)</f>
        <v>2490</v>
      </c>
      <c r="E16" s="17">
        <f>+SUBTOTAL(9,E3:E15)</f>
        <v>2473.6999999999998</v>
      </c>
      <c r="F16" s="17">
        <f t="shared" ref="F16:P16" si="0">+SUBTOTAL(9,F3:F15)</f>
        <v>2463.6440000000007</v>
      </c>
      <c r="G16" s="17">
        <f t="shared" si="0"/>
        <v>2448.3304199999998</v>
      </c>
      <c r="H16" s="17">
        <f t="shared" si="0"/>
        <v>2433.2577044</v>
      </c>
      <c r="I16" s="17">
        <f t="shared" si="0"/>
        <v>2419.4243218419997</v>
      </c>
      <c r="J16" s="17">
        <f t="shared" si="0"/>
        <v>2405.8287650544403</v>
      </c>
      <c r="K16" s="17">
        <f t="shared" si="0"/>
        <v>2392.4695506990638</v>
      </c>
      <c r="L16" s="17">
        <f t="shared" si="0"/>
        <v>2379.3452192201939</v>
      </c>
      <c r="M16" s="17">
        <f t="shared" si="0"/>
        <v>2365.4543346963928</v>
      </c>
      <c r="N16" s="17">
        <f t="shared" si="0"/>
        <v>2351.7954846945145</v>
      </c>
      <c r="O16" s="17">
        <f t="shared" si="0"/>
        <v>2338.3672801261059</v>
      </c>
      <c r="P16" s="17">
        <f t="shared" si="0"/>
        <v>2338.3672801261059</v>
      </c>
    </row>
  </sheetData>
  <pageMargins left="0.7" right="0.7" top="0.78740157499999996" bottom="0.78740157499999996" header="0.3" footer="0.3"/>
  <pageSetup paperSize="9" orientation="portrait" horizontalDpi="4294967293" verticalDpi="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555A995B-5A14-4893-8607-5B6D5747EF4C}">
          <x14:formula1>
            <xm:f>'Drop Downs'!$A$2:$A$8</xm:f>
          </x14:formula1>
          <xm:sqref>A6:A15</xm:sqref>
        </x14:dataValidation>
        <x14:dataValidation type="list" allowBlank="1" showInputMessage="1" showErrorMessage="1" xr:uid="{0765FB64-7F6E-4FD2-B522-4B6BAC70CAAF}">
          <x14:formula1>
            <xm:f>'Drop Downs'!$A$2:$A$9</xm:f>
          </x14:formula1>
          <xm:sqref>A3:A5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F5415-FB46-448C-AC73-F917393B9060}">
  <sheetPr>
    <tabColor rgb="FF33CC33"/>
  </sheetPr>
  <dimension ref="A1:S18"/>
  <sheetViews>
    <sheetView showGridLines="0" workbookViewId="0">
      <selection activeCell="K5" sqref="K5:K17"/>
    </sheetView>
  </sheetViews>
  <sheetFormatPr baseColWidth="10" defaultRowHeight="14"/>
  <cols>
    <col min="1" max="1" width="3.26953125" style="1" customWidth="1"/>
    <col min="2" max="3" width="16.453125" style="1" customWidth="1"/>
    <col min="4" max="4" width="12.08984375" style="1" customWidth="1"/>
    <col min="5" max="8" width="8.6328125" style="1" customWidth="1"/>
    <col min="9" max="9" width="8.90625" style="1" customWidth="1"/>
    <col min="10" max="16" width="8.6328125" style="1" customWidth="1"/>
    <col min="17" max="17" width="1.90625" style="1" customWidth="1"/>
    <col min="18" max="18" width="13.08984375" style="1" customWidth="1"/>
    <col min="19" max="19" width="13.08984375" style="18" customWidth="1"/>
    <col min="20" max="16384" width="10.90625" style="1"/>
  </cols>
  <sheetData>
    <row r="1" spans="1:19">
      <c r="B1" s="5" t="s">
        <v>42</v>
      </c>
      <c r="C1" s="5"/>
      <c r="D1" s="5"/>
      <c r="E1" s="5"/>
      <c r="F1" s="5"/>
      <c r="G1" s="5"/>
      <c r="H1" s="5"/>
      <c r="I1" s="5"/>
      <c r="J1" s="5"/>
      <c r="K1" s="5"/>
      <c r="L1" s="5"/>
      <c r="M1" s="5"/>
      <c r="N1" s="5"/>
      <c r="O1" s="5"/>
      <c r="P1" s="5"/>
    </row>
    <row r="2" spans="1:19" s="9" customFormat="1">
      <c r="B2" s="8"/>
      <c r="C2" s="8"/>
      <c r="D2" s="8"/>
      <c r="E2" s="8"/>
      <c r="F2" s="8"/>
      <c r="G2" s="8"/>
      <c r="H2" s="8"/>
      <c r="I2" s="8"/>
      <c r="J2" s="8"/>
      <c r="K2" s="8"/>
      <c r="L2" s="8"/>
      <c r="M2" s="8"/>
      <c r="N2" s="8"/>
      <c r="O2" s="8"/>
      <c r="P2" s="8"/>
      <c r="S2" s="19"/>
    </row>
    <row r="3" spans="1:19">
      <c r="R3" s="14" t="s">
        <v>7</v>
      </c>
    </row>
    <row r="4" spans="1:19" s="3" customFormat="1" ht="13.5" customHeight="1">
      <c r="A4" s="13">
        <v>1</v>
      </c>
      <c r="B4" s="3" t="s">
        <v>1</v>
      </c>
      <c r="C4" s="3" t="s">
        <v>28</v>
      </c>
      <c r="D4" s="3" t="s">
        <v>2</v>
      </c>
      <c r="E4" s="4" t="s">
        <v>3</v>
      </c>
      <c r="F4" s="4" t="s">
        <v>4</v>
      </c>
      <c r="G4" s="4" t="s">
        <v>5</v>
      </c>
      <c r="H4" s="4" t="s">
        <v>6</v>
      </c>
      <c r="I4" s="4" t="s">
        <v>7</v>
      </c>
      <c r="J4" s="4" t="s">
        <v>8</v>
      </c>
      <c r="K4" s="4" t="s">
        <v>9</v>
      </c>
      <c r="L4" s="4" t="s">
        <v>10</v>
      </c>
      <c r="M4" s="4" t="s">
        <v>11</v>
      </c>
      <c r="N4" s="4" t="s">
        <v>12</v>
      </c>
      <c r="O4" s="4" t="s">
        <v>13</v>
      </c>
      <c r="P4" s="4" t="s">
        <v>14</v>
      </c>
      <c r="R4" s="10" t="s">
        <v>43</v>
      </c>
      <c r="S4" s="20" t="s">
        <v>46</v>
      </c>
    </row>
    <row r="5" spans="1:19" s="2" customFormat="1" ht="13.5" customHeight="1">
      <c r="A5" s="13">
        <v>2</v>
      </c>
      <c r="B5" s="2" t="s">
        <v>16</v>
      </c>
      <c r="C5" s="2" t="s">
        <v>29</v>
      </c>
      <c r="D5" s="2" t="str">
        <f>+VLOOKUP(Tabelle356[[#This Row],[Company]],'Drop Downs'!A:B,2,FALSE)</f>
        <v>Europe</v>
      </c>
      <c r="E5" s="6">
        <v>1000</v>
      </c>
      <c r="F5" s="6">
        <v>1001</v>
      </c>
      <c r="G5" s="6">
        <v>1001</v>
      </c>
      <c r="H5" s="6">
        <v>1002</v>
      </c>
      <c r="I5" s="6">
        <v>1003</v>
      </c>
      <c r="J5" s="6">
        <v>1003</v>
      </c>
      <c r="K5" s="6">
        <v>1003</v>
      </c>
      <c r="L5" s="6"/>
      <c r="M5" s="6"/>
      <c r="N5" s="6"/>
      <c r="O5" s="6"/>
      <c r="P5" s="6">
        <f>+Tabelle356[[#This Row],[Nov-22]]*0.99</f>
        <v>0</v>
      </c>
      <c r="R5" s="11">
        <f>+HLOOKUP($R$3,Tabelle356[[#Headers],[#Data],[Jan-22]:[Dec-22]],A5,FALSE)</f>
        <v>1003</v>
      </c>
      <c r="S5" s="21">
        <f>R5-(+HLOOKUP($R$3,'FTE Reporting PLAN'!$D$2:$O$15,A5,FALSE))</f>
        <v>42.403990000000022</v>
      </c>
    </row>
    <row r="6" spans="1:19" s="2" customFormat="1" ht="13.5" customHeight="1">
      <c r="A6" s="13">
        <v>3</v>
      </c>
      <c r="B6" s="2" t="s">
        <v>16</v>
      </c>
      <c r="C6" s="2" t="s">
        <v>31</v>
      </c>
      <c r="D6" s="7" t="str">
        <f>+VLOOKUP(Tabelle356[[#This Row],[Company]],'Drop Downs'!A:B,2,FALSE)</f>
        <v>Europe</v>
      </c>
      <c r="E6" s="6">
        <v>50</v>
      </c>
      <c r="F6" s="6">
        <v>50</v>
      </c>
      <c r="G6" s="6">
        <v>51</v>
      </c>
      <c r="H6" s="6">
        <v>52</v>
      </c>
      <c r="I6" s="6">
        <v>53</v>
      </c>
      <c r="J6" s="6">
        <v>53</v>
      </c>
      <c r="K6" s="6">
        <v>53</v>
      </c>
      <c r="L6" s="6"/>
      <c r="M6" s="6"/>
      <c r="N6" s="6"/>
      <c r="O6" s="6"/>
      <c r="P6" s="6">
        <f>+Tabelle356[[#This Row],[Nov-22]]*0.99</f>
        <v>0</v>
      </c>
      <c r="R6" s="11">
        <f>+HLOOKUP($R$3,Tabelle356[[#Headers],[#Data],[Jan-22]:[Dec-22]],A6,FALSE)</f>
        <v>53</v>
      </c>
      <c r="S6" s="21">
        <f>R6-(+HLOOKUP($R$3,'FTE Reporting PLAN'!$D$2:$O$15,A6,FALSE))</f>
        <v>4.9701994999999997</v>
      </c>
    </row>
    <row r="7" spans="1:19" s="2" customFormat="1" ht="13.5" customHeight="1">
      <c r="A7" s="13">
        <v>4</v>
      </c>
      <c r="B7" s="2" t="s">
        <v>16</v>
      </c>
      <c r="C7" s="2" t="s">
        <v>32</v>
      </c>
      <c r="D7" s="7" t="str">
        <f>+VLOOKUP(Tabelle356[[#This Row],[Company]],'Drop Downs'!A:B,2,FALSE)</f>
        <v>Europe</v>
      </c>
      <c r="E7" s="6">
        <v>50</v>
      </c>
      <c r="F7" s="6">
        <v>50</v>
      </c>
      <c r="G7" s="6">
        <v>49</v>
      </c>
      <c r="H7" s="6">
        <v>49</v>
      </c>
      <c r="I7" s="6">
        <v>48</v>
      </c>
      <c r="J7" s="6">
        <v>48</v>
      </c>
      <c r="K7" s="6">
        <v>48</v>
      </c>
      <c r="L7" s="6"/>
      <c r="M7" s="6"/>
      <c r="N7" s="6"/>
      <c r="O7" s="6"/>
      <c r="P7" s="6">
        <f>+Tabelle356[[#This Row],[Nov-22]]*0.99</f>
        <v>0</v>
      </c>
      <c r="R7" s="11">
        <f>+HLOOKUP($R$3,Tabelle356[[#Headers],[#Data],[Jan-22]:[Dec-22]],A7,FALSE)</f>
        <v>48</v>
      </c>
      <c r="S7" s="21">
        <f>R7-(+HLOOKUP($R$3,'FTE Reporting PLAN'!$D$2:$O$15,A7,FALSE))</f>
        <v>-2.9800500000000341E-2</v>
      </c>
    </row>
    <row r="8" spans="1:19" s="2" customFormat="1" ht="13.5" customHeight="1">
      <c r="A8" s="13">
        <v>5</v>
      </c>
      <c r="B8" s="2" t="s">
        <v>17</v>
      </c>
      <c r="C8" s="2" t="s">
        <v>33</v>
      </c>
      <c r="D8" s="2" t="str">
        <f>+VLOOKUP(Tabelle356[[#This Row],[Company]],'Drop Downs'!A:B,2,FALSE)</f>
        <v>Europe</v>
      </c>
      <c r="E8" s="2">
        <v>500</v>
      </c>
      <c r="F8" s="2">
        <v>502</v>
      </c>
      <c r="G8" s="2">
        <v>503</v>
      </c>
      <c r="H8" s="2">
        <v>503</v>
      </c>
      <c r="I8" s="2">
        <v>503</v>
      </c>
      <c r="J8" s="2">
        <v>503</v>
      </c>
      <c r="K8" s="2">
        <v>503</v>
      </c>
      <c r="L8" s="6"/>
      <c r="M8" s="6"/>
      <c r="N8" s="6"/>
      <c r="O8" s="6"/>
      <c r="P8" s="6">
        <f>+Tabelle356[[#This Row],[Nov-22]]*0.99</f>
        <v>0</v>
      </c>
      <c r="R8" s="11">
        <f>+HLOOKUP($R$3,Tabelle356[[#Headers],[#Data],[Jan-22]:[Dec-22]],A8,FALSE)</f>
        <v>503</v>
      </c>
      <c r="S8" s="21">
        <f>R8-(+HLOOKUP($R$3,'FTE Reporting PLAN'!$D$2:$O$15,A8,FALSE))</f>
        <v>22.701995000000011</v>
      </c>
    </row>
    <row r="9" spans="1:19" s="2" customFormat="1" ht="13.5" customHeight="1">
      <c r="A9" s="13">
        <v>6</v>
      </c>
      <c r="B9" s="2" t="s">
        <v>18</v>
      </c>
      <c r="C9" s="2" t="s">
        <v>34</v>
      </c>
      <c r="D9" s="2" t="str">
        <f>+VLOOKUP(Tabelle356[[#This Row],[Company]],'Drop Downs'!A:B,2,FALSE)</f>
        <v>Europe</v>
      </c>
      <c r="E9" s="2">
        <v>200</v>
      </c>
      <c r="F9" s="2">
        <v>200</v>
      </c>
      <c r="G9" s="2">
        <v>200</v>
      </c>
      <c r="H9" s="2">
        <v>199</v>
      </c>
      <c r="I9" s="2">
        <v>198</v>
      </c>
      <c r="J9" s="2">
        <v>198</v>
      </c>
      <c r="K9" s="2">
        <v>198</v>
      </c>
      <c r="L9" s="6"/>
      <c r="M9" s="6"/>
      <c r="N9" s="6"/>
      <c r="O9" s="6"/>
      <c r="P9" s="6">
        <f>+Tabelle356[[#This Row],[Nov-22]]*0.99</f>
        <v>0</v>
      </c>
      <c r="R9" s="11">
        <f>+HLOOKUP($R$3,Tabelle356[[#Headers],[#Data],[Jan-22]:[Dec-22]],A9,FALSE)</f>
        <v>198</v>
      </c>
      <c r="S9" s="21">
        <f>R9-(+HLOOKUP($R$3,'FTE Reporting PLAN'!$D$2:$O$15,A9,FALSE))</f>
        <v>5.8807979999999986</v>
      </c>
    </row>
    <row r="10" spans="1:19" s="2" customFormat="1" ht="13.5" customHeight="1">
      <c r="A10" s="13">
        <v>7</v>
      </c>
      <c r="B10" s="2" t="s">
        <v>18</v>
      </c>
      <c r="C10" s="2" t="s">
        <v>35</v>
      </c>
      <c r="D10" s="7" t="str">
        <f>+VLOOKUP(Tabelle356[[#This Row],[Company]],'Drop Downs'!A:B,2,FALSE)</f>
        <v>Europe</v>
      </c>
      <c r="E10" s="2">
        <v>20</v>
      </c>
      <c r="F10" s="2">
        <v>20</v>
      </c>
      <c r="G10" s="2">
        <v>19</v>
      </c>
      <c r="H10" s="2">
        <v>18</v>
      </c>
      <c r="I10" s="2">
        <v>17</v>
      </c>
      <c r="J10" s="2">
        <v>17</v>
      </c>
      <c r="K10" s="2">
        <v>17</v>
      </c>
      <c r="L10" s="6"/>
      <c r="M10" s="6"/>
      <c r="N10" s="6"/>
      <c r="O10" s="6"/>
      <c r="P10" s="6">
        <f>+Tabelle356[[#This Row],[Nov-22]]*0.99</f>
        <v>0</v>
      </c>
      <c r="R10" s="11">
        <f>+HLOOKUP($R$3,Tabelle356[[#Headers],[#Data],[Jan-22]:[Dec-22]],A10,FALSE)</f>
        <v>17</v>
      </c>
      <c r="S10" s="21">
        <f>R10-(+HLOOKUP($R$3,'FTE Reporting PLAN'!$D$2:$O$15,A10,FALSE))</f>
        <v>-2.211920199999998</v>
      </c>
    </row>
    <row r="11" spans="1:19" s="2" customFormat="1" ht="13.5" customHeight="1">
      <c r="A11" s="13">
        <v>8</v>
      </c>
      <c r="B11" s="2" t="s">
        <v>18</v>
      </c>
      <c r="C11" s="2" t="s">
        <v>36</v>
      </c>
      <c r="D11" s="7" t="str">
        <f>+VLOOKUP(Tabelle356[[#This Row],[Company]],'Drop Downs'!A:B,2,FALSE)</f>
        <v>Europe</v>
      </c>
      <c r="E11" s="2">
        <v>20</v>
      </c>
      <c r="F11" s="2">
        <v>20</v>
      </c>
      <c r="G11" s="2">
        <v>18</v>
      </c>
      <c r="H11" s="2">
        <v>15</v>
      </c>
      <c r="I11" s="2">
        <v>15</v>
      </c>
      <c r="J11" s="2">
        <v>15</v>
      </c>
      <c r="K11" s="2">
        <v>15</v>
      </c>
      <c r="L11" s="6"/>
      <c r="M11" s="6"/>
      <c r="N11" s="6"/>
      <c r="O11" s="6"/>
      <c r="P11" s="6">
        <f>+Tabelle356[[#This Row],[Nov-22]]*0.99</f>
        <v>0</v>
      </c>
      <c r="R11" s="11">
        <f>+HLOOKUP($R$3,Tabelle356[[#Headers],[#Data],[Jan-22]:[Dec-22]],A11,FALSE)</f>
        <v>15</v>
      </c>
      <c r="S11" s="21">
        <f>R11-(+HLOOKUP($R$3,'FTE Reporting PLAN'!$D$2:$O$15,A11,FALSE))</f>
        <v>-4.211920199999998</v>
      </c>
    </row>
    <row r="12" spans="1:19" s="2" customFormat="1" ht="13.5" customHeight="1">
      <c r="A12" s="13">
        <v>9</v>
      </c>
      <c r="B12" s="2" t="s">
        <v>19</v>
      </c>
      <c r="C12" s="2" t="s">
        <v>30</v>
      </c>
      <c r="D12" s="2" t="str">
        <f>+VLOOKUP(Tabelle356[[#This Row],[Company]],'Drop Downs'!A:B,2,FALSE)</f>
        <v>Americas</v>
      </c>
      <c r="E12" s="2">
        <v>150</v>
      </c>
      <c r="F12" s="2">
        <v>150</v>
      </c>
      <c r="G12" s="2">
        <v>155</v>
      </c>
      <c r="H12" s="2">
        <v>155</v>
      </c>
      <c r="I12" s="2">
        <v>155</v>
      </c>
      <c r="J12" s="2">
        <v>155</v>
      </c>
      <c r="K12" s="2">
        <v>155</v>
      </c>
      <c r="L12" s="6"/>
      <c r="M12" s="6"/>
      <c r="N12" s="6"/>
      <c r="O12" s="6"/>
      <c r="P12" s="6">
        <f>+Tabelle356[[#This Row],[Nov-22]]*0.99</f>
        <v>0</v>
      </c>
      <c r="R12" s="11">
        <f>+HLOOKUP($R$3,Tabelle356[[#Headers],[#Data],[Jan-22]:[Dec-22]],A12,FALSE)</f>
        <v>155</v>
      </c>
      <c r="S12" s="21">
        <f>R12-(+HLOOKUP($R$3,'FTE Reporting PLAN'!$D$2:$O$15,A12,FALSE))</f>
        <v>10.910598499999992</v>
      </c>
    </row>
    <row r="13" spans="1:19" s="2" customFormat="1" ht="13.5" customHeight="1">
      <c r="A13" s="13">
        <v>10</v>
      </c>
      <c r="B13" s="2" t="s">
        <v>20</v>
      </c>
      <c r="C13" s="2" t="s">
        <v>37</v>
      </c>
      <c r="D13" s="2" t="str">
        <f>+VLOOKUP(Tabelle356[[#This Row],[Company]],'Drop Downs'!A:B,2,FALSE)</f>
        <v>Americas</v>
      </c>
      <c r="E13" s="2">
        <v>20</v>
      </c>
      <c r="F13" s="2">
        <v>20</v>
      </c>
      <c r="G13" s="2">
        <v>21</v>
      </c>
      <c r="H13" s="2">
        <v>21</v>
      </c>
      <c r="I13" s="2">
        <v>22</v>
      </c>
      <c r="J13" s="2">
        <v>22</v>
      </c>
      <c r="K13" s="2">
        <v>22</v>
      </c>
      <c r="L13" s="6"/>
      <c r="M13" s="6"/>
      <c r="N13" s="6"/>
      <c r="O13" s="6"/>
      <c r="P13" s="6">
        <f>+Tabelle356[[#This Row],[Nov-22]]*0.99</f>
        <v>0</v>
      </c>
      <c r="R13" s="11">
        <f>+HLOOKUP($R$3,Tabelle356[[#Headers],[#Data],[Jan-22]:[Dec-22]],A13,FALSE)</f>
        <v>22</v>
      </c>
      <c r="S13" s="21">
        <f>R13-(+HLOOKUP($R$3,'FTE Reporting PLAN'!$D$2:$O$15,A13,FALSE))</f>
        <v>2.788079800000002</v>
      </c>
    </row>
    <row r="14" spans="1:19" s="2" customFormat="1" ht="13.5" customHeight="1">
      <c r="A14" s="13">
        <v>11</v>
      </c>
      <c r="B14" s="2" t="s">
        <v>21</v>
      </c>
      <c r="C14" s="2" t="s">
        <v>38</v>
      </c>
      <c r="D14" s="2" t="str">
        <f>+VLOOKUP(Tabelle356[[#This Row],[Company]],'Drop Downs'!A:B,2,FALSE)</f>
        <v>Asia</v>
      </c>
      <c r="E14" s="2">
        <v>150</v>
      </c>
      <c r="F14" s="2">
        <v>150</v>
      </c>
      <c r="G14" s="2">
        <v>160</v>
      </c>
      <c r="H14" s="2">
        <v>170</v>
      </c>
      <c r="I14" s="2">
        <v>175</v>
      </c>
      <c r="J14" s="2">
        <v>175</v>
      </c>
      <c r="K14" s="2">
        <v>175</v>
      </c>
      <c r="L14" s="6"/>
      <c r="M14" s="6"/>
      <c r="N14" s="6"/>
      <c r="O14" s="6"/>
      <c r="P14" s="6">
        <f>+Tabelle356[[#This Row],[Nov-22]]*1.01</f>
        <v>0</v>
      </c>
      <c r="R14" s="11">
        <f>+HLOOKUP($R$3,Tabelle356[[#Headers],[#Data],[Jan-22]:[Dec-22]],A14,FALSE)</f>
        <v>175</v>
      </c>
      <c r="S14" s="21">
        <f>R14-(+HLOOKUP($R$3,'FTE Reporting PLAN'!$D$2:$O$15,A14,FALSE))</f>
        <v>18.90939849999998</v>
      </c>
    </row>
    <row r="15" spans="1:19" s="2" customFormat="1" ht="13.5" customHeight="1">
      <c r="A15" s="13">
        <v>12</v>
      </c>
      <c r="B15" s="2" t="s">
        <v>21</v>
      </c>
      <c r="C15" s="2" t="s">
        <v>39</v>
      </c>
      <c r="D15" s="7" t="str">
        <f>+VLOOKUP(Tabelle356[[#This Row],[Company]],'Drop Downs'!A:B,2,FALSE)</f>
        <v>Asia</v>
      </c>
      <c r="E15" s="2">
        <v>30</v>
      </c>
      <c r="F15" s="2">
        <v>30</v>
      </c>
      <c r="G15" s="2">
        <v>32</v>
      </c>
      <c r="H15" s="2">
        <v>32</v>
      </c>
      <c r="I15" s="2">
        <v>33</v>
      </c>
      <c r="J15" s="2">
        <v>33</v>
      </c>
      <c r="K15" s="2">
        <v>33</v>
      </c>
      <c r="L15" s="6"/>
      <c r="M15" s="6"/>
      <c r="N15" s="6"/>
      <c r="O15" s="6"/>
      <c r="P15" s="6">
        <f>+Tabelle356[[#This Row],[Nov-22]]*0.99</f>
        <v>0</v>
      </c>
      <c r="R15" s="11">
        <f>+HLOOKUP($R$3,Tabelle356[[#Headers],[#Data],[Jan-22]:[Dec-22]],A15,FALSE)</f>
        <v>33</v>
      </c>
      <c r="S15" s="21">
        <f>R15-(+HLOOKUP($R$3,'FTE Reporting PLAN'!$D$2:$O$15,A15,FALSE))</f>
        <v>1.7818796999999975</v>
      </c>
    </row>
    <row r="16" spans="1:19" s="2" customFormat="1" ht="13.5" customHeight="1">
      <c r="A16" s="13">
        <v>13</v>
      </c>
      <c r="B16" s="2" t="s">
        <v>21</v>
      </c>
      <c r="C16" s="2" t="s">
        <v>40</v>
      </c>
      <c r="D16" s="7" t="str">
        <f>+VLOOKUP(Tabelle356[[#This Row],[Company]],'Drop Downs'!A:B,2,FALSE)</f>
        <v>Asia</v>
      </c>
      <c r="E16" s="2">
        <v>50</v>
      </c>
      <c r="F16" s="2">
        <v>55</v>
      </c>
      <c r="G16" s="2">
        <v>55</v>
      </c>
      <c r="H16" s="2">
        <v>55</v>
      </c>
      <c r="I16" s="2">
        <v>55</v>
      </c>
      <c r="J16" s="2">
        <v>55</v>
      </c>
      <c r="K16" s="2">
        <v>55</v>
      </c>
      <c r="L16" s="6"/>
      <c r="M16" s="6"/>
      <c r="N16" s="6"/>
      <c r="O16" s="6"/>
      <c r="P16" s="6">
        <f>+Tabelle356[[#This Row],[Nov-22]]*0.99</f>
        <v>0</v>
      </c>
      <c r="R16" s="11">
        <f>+HLOOKUP($R$3,Tabelle356[[#Headers],[#Data],[Jan-22]:[Dec-22]],A16,FALSE)</f>
        <v>55</v>
      </c>
      <c r="S16" s="21">
        <f>R16-(+HLOOKUP($R$3,'FTE Reporting PLAN'!$D$2:$O$15,A16,FALSE))</f>
        <v>0</v>
      </c>
    </row>
    <row r="17" spans="1:19" s="2" customFormat="1" ht="13.5" customHeight="1">
      <c r="A17" s="13">
        <v>14</v>
      </c>
      <c r="B17" s="2" t="s">
        <v>22</v>
      </c>
      <c r="C17" s="2" t="s">
        <v>41</v>
      </c>
      <c r="D17" s="2" t="str">
        <f>+VLOOKUP(Tabelle356[[#This Row],[Company]],'Drop Downs'!A:B,2,FALSE)</f>
        <v>Asia</v>
      </c>
      <c r="E17" s="2">
        <v>250</v>
      </c>
      <c r="F17" s="2">
        <v>251</v>
      </c>
      <c r="G17" s="2">
        <v>253</v>
      </c>
      <c r="H17" s="2">
        <v>255</v>
      </c>
      <c r="I17" s="2">
        <v>260</v>
      </c>
      <c r="J17" s="2">
        <v>260</v>
      </c>
      <c r="K17" s="2">
        <v>260</v>
      </c>
      <c r="L17" s="6"/>
      <c r="M17" s="6"/>
      <c r="N17" s="6"/>
      <c r="O17" s="6"/>
      <c r="P17" s="6">
        <f>+Tabelle356[[#This Row],[Nov-22]]*1.01</f>
        <v>0</v>
      </c>
      <c r="R17" s="11">
        <f>+HLOOKUP($R$3,Tabelle356[[#Headers],[#Data],[Jan-22]:[Dec-22]],A17,FALSE)</f>
        <v>260</v>
      </c>
      <c r="S17" s="21">
        <f>R17-(+HLOOKUP($R$3,'FTE Reporting PLAN'!$D$2:$O$15,A17,FALSE))</f>
        <v>-0.15100250000000415</v>
      </c>
    </row>
    <row r="18" spans="1:19">
      <c r="A18" s="13"/>
      <c r="B18" s="2" t="s">
        <v>44</v>
      </c>
      <c r="C18" s="2"/>
      <c r="D18" s="2"/>
      <c r="E18" s="2">
        <f>SUBTOTAL(109,Tabelle356[Jan-22])</f>
        <v>2490</v>
      </c>
      <c r="F18" s="2">
        <f>SUBTOTAL(109,Tabelle356[Feb-22])</f>
        <v>2499</v>
      </c>
      <c r="G18" s="2">
        <f>SUBTOTAL(109,Tabelle356[Mar-22])</f>
        <v>2517</v>
      </c>
      <c r="H18" s="2">
        <f>SUBTOTAL(109,Tabelle356[Apr-22])</f>
        <v>2526</v>
      </c>
      <c r="I18" s="2">
        <f>SUBTOTAL(109,Tabelle356[May-22])</f>
        <v>2537</v>
      </c>
      <c r="J18" s="2">
        <f>SUBTOTAL(109,Tabelle356[Jun-22])</f>
        <v>2537</v>
      </c>
      <c r="K18" s="2">
        <f>SUBTOTAL(109,Tabelle356[Jul-22])</f>
        <v>2537</v>
      </c>
      <c r="L18" s="2">
        <f>SUBTOTAL(109,Tabelle356[Aug-22])</f>
        <v>0</v>
      </c>
      <c r="M18" s="2">
        <f>SUBTOTAL(109,Tabelle356[Sep-22])</f>
        <v>0</v>
      </c>
      <c r="N18" s="2">
        <f>SUBTOTAL(109,Tabelle356[Oct-22])</f>
        <v>0</v>
      </c>
      <c r="O18" s="2">
        <f>SUBTOTAL(109,Tabelle356[Nov-22])</f>
        <v>0</v>
      </c>
      <c r="P18" s="2">
        <f>SUBTOTAL(109,Tabelle356[Dec-22])</f>
        <v>0</v>
      </c>
      <c r="R18" s="12"/>
      <c r="S18" s="22"/>
    </row>
  </sheetData>
  <phoneticPr fontId="6" type="noConversion"/>
  <dataValidations count="1">
    <dataValidation type="list" allowBlank="1" showInputMessage="1" showErrorMessage="1" sqref="R3" xr:uid="{9D8BB2CD-90A8-4594-ABCA-DF5D5CCAAFEA}">
      <formula1>$E$4:$P$4</formula1>
    </dataValidation>
  </dataValidations>
  <pageMargins left="0.7" right="0.7" top="0.78740157499999996" bottom="0.78740157499999996" header="0.3" footer="0.3"/>
  <pageSetup paperSize="9" orientation="portrait" horizontalDpi="4294967293"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 id="{5795B27C-045D-4E97-87D4-6D1700978847}">
            <x14:iconSet custom="1">
              <x14:cfvo type="percent">
                <xm:f>0</xm:f>
              </x14:cfvo>
              <x14:cfvo type="percent">
                <xm:f>33</xm:f>
              </x14:cfvo>
              <x14:cfvo type="percent">
                <xm:f>67</xm:f>
              </x14:cfvo>
              <x14:cfIcon iconSet="3TrafficLights1" iconId="2"/>
              <x14:cfIcon iconSet="3TrafficLights1" iconId="1"/>
              <x14:cfIcon iconSet="3TrafficLights1" iconId="0"/>
            </x14:iconSet>
          </x14:cfRule>
          <xm:sqref>S5:S17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F2098ED-95B7-4F06-ABF3-AF1B425811AD}">
          <x14:formula1>
            <xm:f>'Drop Downs'!$A$2:$A$9</xm:f>
          </x14:formula1>
          <xm:sqref>B5:B7</xm:sqref>
        </x14:dataValidation>
        <x14:dataValidation type="list" allowBlank="1" showInputMessage="1" showErrorMessage="1" xr:uid="{CE98BDB9-AA74-4F82-8B63-332F89715211}">
          <x14:formula1>
            <xm:f>'Drop Downs'!$A$2:$A$8</xm:f>
          </x14:formula1>
          <xm:sqref>B8:B17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08B04-A576-45F3-9511-FB24CF9DF2DC}">
  <sheetPr>
    <tabColor rgb="FF33CC33"/>
  </sheetPr>
  <dimension ref="A1:Q29"/>
  <sheetViews>
    <sheetView showGridLines="0" topLeftCell="E1" workbookViewId="0">
      <selection activeCell="Q30" sqref="Q30"/>
    </sheetView>
  </sheetViews>
  <sheetFormatPr baseColWidth="10" defaultRowHeight="14"/>
  <cols>
    <col min="1" max="2" width="16.453125" style="1" customWidth="1"/>
    <col min="3" max="4" width="12.08984375" style="1" customWidth="1"/>
    <col min="5" max="8" width="8.6328125" style="1" customWidth="1"/>
    <col min="9" max="9" width="8.90625" style="1" customWidth="1"/>
    <col min="10" max="16" width="8.6328125" style="1" customWidth="1"/>
    <col min="17" max="16384" width="10.90625" style="1"/>
  </cols>
  <sheetData>
    <row r="1" spans="1:17">
      <c r="E1" s="27">
        <v>3</v>
      </c>
      <c r="F1" s="27">
        <v>4</v>
      </c>
      <c r="G1" s="27">
        <v>5</v>
      </c>
      <c r="H1" s="27">
        <v>6</v>
      </c>
      <c r="I1" s="27">
        <v>7</v>
      </c>
      <c r="J1" s="27">
        <v>8</v>
      </c>
      <c r="K1" s="27">
        <v>9</v>
      </c>
      <c r="L1" s="27">
        <v>10</v>
      </c>
      <c r="M1" s="27">
        <v>11</v>
      </c>
      <c r="N1" s="27">
        <v>12</v>
      </c>
      <c r="O1" s="27">
        <v>13</v>
      </c>
      <c r="P1" s="27">
        <v>14</v>
      </c>
    </row>
    <row r="2" spans="1:17">
      <c r="A2" s="5" t="s">
        <v>119</v>
      </c>
      <c r="B2" s="5"/>
      <c r="C2" s="5"/>
      <c r="D2" s="5"/>
      <c r="E2" s="5"/>
      <c r="F2" s="5"/>
      <c r="G2" s="5"/>
      <c r="H2" s="5"/>
      <c r="I2" s="5"/>
      <c r="J2" s="5"/>
      <c r="K2" s="5"/>
      <c r="L2" s="5"/>
      <c r="M2" s="5"/>
      <c r="N2" s="5"/>
      <c r="O2" s="5"/>
      <c r="P2" s="5"/>
      <c r="Q2" s="15" t="s">
        <v>45</v>
      </c>
    </row>
    <row r="3" spans="1:17" s="3" customFormat="1" ht="13.5" customHeight="1">
      <c r="A3" s="3" t="s">
        <v>1</v>
      </c>
      <c r="B3" s="3" t="s">
        <v>28</v>
      </c>
      <c r="C3" s="3" t="s">
        <v>2</v>
      </c>
      <c r="D3" s="3" t="s">
        <v>88</v>
      </c>
      <c r="E3" s="4" t="s">
        <v>3</v>
      </c>
      <c r="F3" s="4" t="s">
        <v>4</v>
      </c>
      <c r="G3" s="4" t="s">
        <v>5</v>
      </c>
      <c r="H3" s="4" t="s">
        <v>6</v>
      </c>
      <c r="I3" s="4" t="s">
        <v>7</v>
      </c>
      <c r="J3" s="4" t="s">
        <v>8</v>
      </c>
      <c r="K3" s="4" t="s">
        <v>9</v>
      </c>
      <c r="L3" s="4" t="s">
        <v>10</v>
      </c>
      <c r="M3" s="4" t="s">
        <v>11</v>
      </c>
      <c r="N3" s="4" t="s">
        <v>12</v>
      </c>
      <c r="O3" s="4" t="s">
        <v>13</v>
      </c>
      <c r="P3" s="4" t="s">
        <v>14</v>
      </c>
      <c r="Q3" s="16" t="s">
        <v>26</v>
      </c>
    </row>
    <row r="4" spans="1:17" s="2" customFormat="1" ht="13.5" customHeight="1">
      <c r="A4" s="2" t="s">
        <v>16</v>
      </c>
      <c r="B4" s="2" t="s">
        <v>29</v>
      </c>
      <c r="C4" s="2" t="str">
        <f>+VLOOKUP(Tabelle353[[#This Row],[Company]],'Drop Downs'!A:B,2,FALSE)</f>
        <v>Europe</v>
      </c>
      <c r="D4" s="2" t="s">
        <v>89</v>
      </c>
      <c r="E4" s="6">
        <f>VLOOKUP($B4,'FTE Reporting PLAN'!$B:$P,'FTE Reporting PLAN ACT'!E$1,FALSE)</f>
        <v>1000</v>
      </c>
      <c r="F4" s="6">
        <f>VLOOKUP($B4,'FTE Reporting PLAN'!$B:$P,'FTE Reporting PLAN ACT'!F$1,FALSE)</f>
        <v>990</v>
      </c>
      <c r="G4" s="6">
        <f>VLOOKUP($B4,'FTE Reporting PLAN'!$B:$P,'FTE Reporting PLAN ACT'!G$1,FALSE)</f>
        <v>980.1</v>
      </c>
      <c r="H4" s="6">
        <f>VLOOKUP($B4,'FTE Reporting PLAN'!$B:$P,'FTE Reporting PLAN ACT'!H$1,FALSE)</f>
        <v>970.29899999999998</v>
      </c>
      <c r="I4" s="6">
        <f>VLOOKUP($B4,'FTE Reporting PLAN'!$B:$P,'FTE Reporting PLAN ACT'!I$1,FALSE)</f>
        <v>960.59600999999998</v>
      </c>
      <c r="J4" s="6">
        <f>VLOOKUP($B4,'FTE Reporting PLAN'!$B:$P,'FTE Reporting PLAN ACT'!J$1,FALSE)</f>
        <v>950.99004989999992</v>
      </c>
      <c r="K4" s="6">
        <f>VLOOKUP($B4,'FTE Reporting PLAN'!$B:$P,'FTE Reporting PLAN ACT'!K$1,FALSE)</f>
        <v>941.48014940099995</v>
      </c>
      <c r="L4" s="6">
        <f>VLOOKUP($B4,'FTE Reporting PLAN'!$B:$P,'FTE Reporting PLAN ACT'!L$1,FALSE)</f>
        <v>932.06534790698993</v>
      </c>
      <c r="M4" s="6">
        <f>VLOOKUP($B4,'FTE Reporting PLAN'!$B:$P,'FTE Reporting PLAN ACT'!M$1,FALSE)</f>
        <v>922.74469442791997</v>
      </c>
      <c r="N4" s="6">
        <f>VLOOKUP($B4,'FTE Reporting PLAN'!$B:$P,'FTE Reporting PLAN ACT'!N$1,FALSE)</f>
        <v>913.51724748364074</v>
      </c>
      <c r="O4" s="6">
        <f>VLOOKUP($B4,'FTE Reporting PLAN'!$B:$P,'FTE Reporting PLAN ACT'!O$1,FALSE)</f>
        <v>904.38207500880435</v>
      </c>
      <c r="P4" s="6">
        <f>VLOOKUP($B4,'FTE Reporting PLAN'!$B:$P,'FTE Reporting PLAN ACT'!P$1,FALSE)</f>
        <v>895.33825425871635</v>
      </c>
      <c r="Q4" s="6">
        <f>Tabelle353[[#This Row],[Dec-22]]</f>
        <v>895.33825425871635</v>
      </c>
    </row>
    <row r="5" spans="1:17" s="2" customFormat="1" ht="13.5" customHeight="1">
      <c r="A5" s="2" t="s">
        <v>16</v>
      </c>
      <c r="B5" s="2" t="s">
        <v>29</v>
      </c>
      <c r="C5" s="7" t="str">
        <f>+VLOOKUP(Tabelle353[[#This Row],[Company]],'Drop Downs'!A:B,2,FALSE)</f>
        <v>Europe</v>
      </c>
      <c r="D5" s="7" t="s">
        <v>90</v>
      </c>
      <c r="E5" s="6">
        <f>+VLOOKUP($B5,'FTE Reporting ACT'!$C:$P,E$1,FALSE)</f>
        <v>1000</v>
      </c>
      <c r="F5" s="6">
        <f>+VLOOKUP($B5,'FTE Reporting ACT'!$C:$P,F$1,FALSE)</f>
        <v>1001</v>
      </c>
      <c r="G5" s="6">
        <f>+VLOOKUP($B5,'FTE Reporting ACT'!$C:$P,G$1,FALSE)</f>
        <v>1001</v>
      </c>
      <c r="H5" s="6">
        <f>+VLOOKUP($B5,'FTE Reporting ACT'!$C:$P,H$1,FALSE)</f>
        <v>1002</v>
      </c>
      <c r="I5" s="6">
        <f>+VLOOKUP($B5,'FTE Reporting ACT'!$C:$P,I$1,FALSE)</f>
        <v>1003</v>
      </c>
      <c r="J5" s="6">
        <f>+VLOOKUP($B5,'FTE Reporting ACT'!$C:$P,J$1,FALSE)</f>
        <v>1003</v>
      </c>
      <c r="K5" s="6">
        <f>+VLOOKUP($B5,'FTE Reporting ACT'!$C:$P,K$1,FALSE)</f>
        <v>1003</v>
      </c>
      <c r="L5" s="6">
        <f>+VLOOKUP($B5,'FTE Reporting ACT'!$C:$P,L$1,FALSE)</f>
        <v>0</v>
      </c>
      <c r="M5" s="6">
        <f>+VLOOKUP($B5,'FTE Reporting ACT'!$C:$P,M$1,FALSE)</f>
        <v>0</v>
      </c>
      <c r="N5" s="6">
        <f>+VLOOKUP($B5,'FTE Reporting ACT'!$C:$P,N$1,FALSE)</f>
        <v>0</v>
      </c>
      <c r="O5" s="6">
        <f>+VLOOKUP($B5,'FTE Reporting ACT'!$C:$P,O$1,FALSE)</f>
        <v>0</v>
      </c>
      <c r="P5" s="6">
        <f>+VLOOKUP($B5,'FTE Reporting ACT'!$C:$P,P$1,FALSE)</f>
        <v>0</v>
      </c>
      <c r="Q5" s="7">
        <f>ROUNDUP(Tabelle353[[#This Row],[Dec-22]],0)</f>
        <v>0</v>
      </c>
    </row>
    <row r="6" spans="1:17" s="2" customFormat="1" ht="13.5" customHeight="1">
      <c r="A6" s="2" t="s">
        <v>16</v>
      </c>
      <c r="B6" s="2" t="s">
        <v>31</v>
      </c>
      <c r="C6" s="7" t="str">
        <f>+VLOOKUP(Tabelle353[[#This Row],[Company]],'Drop Downs'!A:B,2,FALSE)</f>
        <v>Europe</v>
      </c>
      <c r="D6" s="2" t="s">
        <v>89</v>
      </c>
      <c r="E6" s="6">
        <f>VLOOKUP($B6,'FTE Reporting PLAN'!$B:$P,'FTE Reporting PLAN ACT'!E$1,FALSE)</f>
        <v>50</v>
      </c>
      <c r="F6" s="6">
        <f>VLOOKUP($B6,'FTE Reporting PLAN'!$B:$P,'FTE Reporting PLAN ACT'!F$1,FALSE)</f>
        <v>49.5</v>
      </c>
      <c r="G6" s="6">
        <f>VLOOKUP($B6,'FTE Reporting PLAN'!$B:$P,'FTE Reporting PLAN ACT'!G$1,FALSE)</f>
        <v>49.005000000000003</v>
      </c>
      <c r="H6" s="6">
        <f>VLOOKUP($B6,'FTE Reporting PLAN'!$B:$P,'FTE Reporting PLAN ACT'!H$1,FALSE)</f>
        <v>48.514949999999999</v>
      </c>
      <c r="I6" s="6">
        <f>VLOOKUP($B6,'FTE Reporting PLAN'!$B:$P,'FTE Reporting PLAN ACT'!I$1,FALSE)</f>
        <v>48.0298005</v>
      </c>
      <c r="J6" s="6">
        <f>VLOOKUP($B6,'FTE Reporting PLAN'!$B:$P,'FTE Reporting PLAN ACT'!J$1,FALSE)</f>
        <v>47.549502494999999</v>
      </c>
      <c r="K6" s="6">
        <f>VLOOKUP($B6,'FTE Reporting PLAN'!$B:$P,'FTE Reporting PLAN ACT'!K$1,FALSE)</f>
        <v>47.074007470049999</v>
      </c>
      <c r="L6" s="6">
        <f>VLOOKUP($B6,'FTE Reporting PLAN'!$B:$P,'FTE Reporting PLAN ACT'!L$1,FALSE)</f>
        <v>46.603267395349498</v>
      </c>
      <c r="M6" s="6">
        <f>VLOOKUP($B6,'FTE Reporting PLAN'!$B:$P,'FTE Reporting PLAN ACT'!M$1,FALSE)</f>
        <v>46.137234721396005</v>
      </c>
      <c r="N6" s="6">
        <f>VLOOKUP($B6,'FTE Reporting PLAN'!$B:$P,'FTE Reporting PLAN ACT'!N$1,FALSE)</f>
        <v>45.675862374182046</v>
      </c>
      <c r="O6" s="6">
        <f>VLOOKUP($B6,'FTE Reporting PLAN'!$B:$P,'FTE Reporting PLAN ACT'!O$1,FALSE)</f>
        <v>45.219103750440226</v>
      </c>
      <c r="P6" s="6">
        <f>VLOOKUP($B6,'FTE Reporting PLAN'!$B:$P,'FTE Reporting PLAN ACT'!P$1,FALSE)</f>
        <v>44.76691271293582</v>
      </c>
      <c r="Q6" s="6">
        <f>Tabelle353[[#This Row],[Dec-22]]</f>
        <v>44.76691271293582</v>
      </c>
    </row>
    <row r="7" spans="1:17" s="2" customFormat="1" ht="13.5" customHeight="1">
      <c r="A7" s="2" t="s">
        <v>16</v>
      </c>
      <c r="B7" s="2" t="s">
        <v>31</v>
      </c>
      <c r="C7" s="7" t="str">
        <f>+VLOOKUP(Tabelle353[[#This Row],[Company]],'Drop Downs'!A:B,2,FALSE)</f>
        <v>Europe</v>
      </c>
      <c r="D7" s="7" t="s">
        <v>90</v>
      </c>
      <c r="E7" s="6">
        <f>+VLOOKUP($B7,'FTE Reporting ACT'!$C:$P,E$1,FALSE)</f>
        <v>50</v>
      </c>
      <c r="F7" s="6">
        <f>+VLOOKUP($B7,'FTE Reporting ACT'!$C:$P,F$1,FALSE)</f>
        <v>50</v>
      </c>
      <c r="G7" s="6">
        <f>+VLOOKUP($B7,'FTE Reporting ACT'!$C:$P,G$1,FALSE)</f>
        <v>51</v>
      </c>
      <c r="H7" s="6">
        <f>+VLOOKUP($B7,'FTE Reporting ACT'!$C:$P,H$1,FALSE)</f>
        <v>52</v>
      </c>
      <c r="I7" s="6">
        <f>+VLOOKUP($B7,'FTE Reporting ACT'!$C:$P,I$1,FALSE)</f>
        <v>53</v>
      </c>
      <c r="J7" s="6">
        <f>+VLOOKUP($B7,'FTE Reporting ACT'!$C:$P,J$1,FALSE)</f>
        <v>53</v>
      </c>
      <c r="K7" s="6">
        <f>+VLOOKUP($B7,'FTE Reporting ACT'!$C:$P,K$1,FALSE)</f>
        <v>53</v>
      </c>
      <c r="L7" s="6">
        <f>+VLOOKUP($B7,'FTE Reporting ACT'!$C:$P,L$1,FALSE)</f>
        <v>0</v>
      </c>
      <c r="M7" s="6">
        <f>+VLOOKUP($B7,'FTE Reporting ACT'!$C:$P,M$1,FALSE)</f>
        <v>0</v>
      </c>
      <c r="N7" s="6">
        <f>+VLOOKUP($B7,'FTE Reporting ACT'!$C:$P,N$1,FALSE)</f>
        <v>0</v>
      </c>
      <c r="O7" s="6">
        <f>+VLOOKUP($B7,'FTE Reporting ACT'!$C:$P,O$1,FALSE)</f>
        <v>0</v>
      </c>
      <c r="P7" s="6">
        <f>+VLOOKUP($B7,'FTE Reporting ACT'!$C:$P,P$1,FALSE)</f>
        <v>0</v>
      </c>
      <c r="Q7" s="7">
        <f>ROUNDUP(Tabelle353[[#This Row],[Dec-22]],0)</f>
        <v>0</v>
      </c>
    </row>
    <row r="8" spans="1:17" s="2" customFormat="1" ht="13.5" customHeight="1">
      <c r="A8" s="2" t="s">
        <v>16</v>
      </c>
      <c r="B8" s="2" t="s">
        <v>32</v>
      </c>
      <c r="C8" s="7" t="str">
        <f>+VLOOKUP(Tabelle353[[#This Row],[Company]],'Drop Downs'!A:B,2,FALSE)</f>
        <v>Europe</v>
      </c>
      <c r="D8" s="2" t="s">
        <v>89</v>
      </c>
      <c r="E8" s="6">
        <f>VLOOKUP($B8,'FTE Reporting PLAN'!$B:$P,'FTE Reporting PLAN ACT'!E$1,FALSE)</f>
        <v>50</v>
      </c>
      <c r="F8" s="6">
        <f>VLOOKUP($B8,'FTE Reporting PLAN'!$B:$P,'FTE Reporting PLAN ACT'!F$1,FALSE)</f>
        <v>49.5</v>
      </c>
      <c r="G8" s="6">
        <f>VLOOKUP($B8,'FTE Reporting PLAN'!$B:$P,'FTE Reporting PLAN ACT'!G$1,FALSE)</f>
        <v>49.005000000000003</v>
      </c>
      <c r="H8" s="6">
        <f>VLOOKUP($B8,'FTE Reporting PLAN'!$B:$P,'FTE Reporting PLAN ACT'!H$1,FALSE)</f>
        <v>48.514949999999999</v>
      </c>
      <c r="I8" s="6">
        <f>VLOOKUP($B8,'FTE Reporting PLAN'!$B:$P,'FTE Reporting PLAN ACT'!I$1,FALSE)</f>
        <v>48.0298005</v>
      </c>
      <c r="J8" s="6">
        <f>VLOOKUP($B8,'FTE Reporting PLAN'!$B:$P,'FTE Reporting PLAN ACT'!J$1,FALSE)</f>
        <v>47.549502494999999</v>
      </c>
      <c r="K8" s="6">
        <f>VLOOKUP($B8,'FTE Reporting PLAN'!$B:$P,'FTE Reporting PLAN ACT'!K$1,FALSE)</f>
        <v>47.074007470049999</v>
      </c>
      <c r="L8" s="6">
        <f>VLOOKUP($B8,'FTE Reporting PLAN'!$B:$P,'FTE Reporting PLAN ACT'!L$1,FALSE)</f>
        <v>46.603267395349498</v>
      </c>
      <c r="M8" s="6">
        <f>VLOOKUP($B8,'FTE Reporting PLAN'!$B:$P,'FTE Reporting PLAN ACT'!M$1,FALSE)</f>
        <v>46.137234721396005</v>
      </c>
      <c r="N8" s="6">
        <f>VLOOKUP($B8,'FTE Reporting PLAN'!$B:$P,'FTE Reporting PLAN ACT'!N$1,FALSE)</f>
        <v>45.675862374182046</v>
      </c>
      <c r="O8" s="6">
        <f>VLOOKUP($B8,'FTE Reporting PLAN'!$B:$P,'FTE Reporting PLAN ACT'!O$1,FALSE)</f>
        <v>45.219103750440226</v>
      </c>
      <c r="P8" s="6">
        <f>VLOOKUP($B8,'FTE Reporting PLAN'!$B:$P,'FTE Reporting PLAN ACT'!P$1,FALSE)</f>
        <v>44.76691271293582</v>
      </c>
      <c r="Q8" s="6">
        <f>Tabelle353[[#This Row],[Dec-22]]</f>
        <v>44.76691271293582</v>
      </c>
    </row>
    <row r="9" spans="1:17" s="2" customFormat="1" ht="13.5" customHeight="1">
      <c r="A9" s="2" t="s">
        <v>16</v>
      </c>
      <c r="B9" s="2" t="s">
        <v>32</v>
      </c>
      <c r="C9" s="7" t="str">
        <f>+VLOOKUP(Tabelle353[[#This Row],[Company]],'Drop Downs'!A:B,2,FALSE)</f>
        <v>Europe</v>
      </c>
      <c r="D9" s="7" t="s">
        <v>90</v>
      </c>
      <c r="E9" s="6">
        <f>+VLOOKUP($B9,'FTE Reporting ACT'!$C:$P,E$1,FALSE)</f>
        <v>50</v>
      </c>
      <c r="F9" s="6">
        <f>+VLOOKUP($B9,'FTE Reporting ACT'!$C:$P,F$1,FALSE)</f>
        <v>50</v>
      </c>
      <c r="G9" s="6">
        <f>+VLOOKUP($B9,'FTE Reporting ACT'!$C:$P,G$1,FALSE)</f>
        <v>49</v>
      </c>
      <c r="H9" s="6">
        <f>+VLOOKUP($B9,'FTE Reporting ACT'!$C:$P,H$1,FALSE)</f>
        <v>49</v>
      </c>
      <c r="I9" s="6">
        <f>+VLOOKUP($B9,'FTE Reporting ACT'!$C:$P,I$1,FALSE)</f>
        <v>48</v>
      </c>
      <c r="J9" s="6">
        <f>+VLOOKUP($B9,'FTE Reporting ACT'!$C:$P,J$1,FALSE)</f>
        <v>48</v>
      </c>
      <c r="K9" s="6">
        <f>+VLOOKUP($B9,'FTE Reporting ACT'!$C:$P,K$1,FALSE)</f>
        <v>48</v>
      </c>
      <c r="L9" s="6">
        <f>+VLOOKUP($B9,'FTE Reporting ACT'!$C:$P,L$1,FALSE)</f>
        <v>0</v>
      </c>
      <c r="M9" s="6">
        <f>+VLOOKUP($B9,'FTE Reporting ACT'!$C:$P,M$1,FALSE)</f>
        <v>0</v>
      </c>
      <c r="N9" s="6">
        <f>+VLOOKUP($B9,'FTE Reporting ACT'!$C:$P,N$1,FALSE)</f>
        <v>0</v>
      </c>
      <c r="O9" s="6">
        <f>+VLOOKUP($B9,'FTE Reporting ACT'!$C:$P,O$1,FALSE)</f>
        <v>0</v>
      </c>
      <c r="P9" s="6">
        <f>+VLOOKUP($B9,'FTE Reporting ACT'!$C:$P,P$1,FALSE)</f>
        <v>0</v>
      </c>
      <c r="Q9" s="7">
        <f>ROUNDUP(Tabelle353[[#This Row],[Dec-22]],0)</f>
        <v>0</v>
      </c>
    </row>
    <row r="10" spans="1:17" s="2" customFormat="1" ht="13.5" customHeight="1">
      <c r="A10" s="2" t="s">
        <v>17</v>
      </c>
      <c r="B10" s="2" t="s">
        <v>33</v>
      </c>
      <c r="C10" s="2" t="str">
        <f>+VLOOKUP(Tabelle353[[#This Row],[Company]],'Drop Downs'!A:B,2,FALSE)</f>
        <v>Europe</v>
      </c>
      <c r="D10" s="2" t="s">
        <v>89</v>
      </c>
      <c r="E10" s="6">
        <f>VLOOKUP($B10,'FTE Reporting PLAN'!$B:$P,'FTE Reporting PLAN ACT'!E$1,FALSE)</f>
        <v>500</v>
      </c>
      <c r="F10" s="6">
        <f>VLOOKUP($B10,'FTE Reporting PLAN'!$B:$P,'FTE Reporting PLAN ACT'!F$1,FALSE)</f>
        <v>495</v>
      </c>
      <c r="G10" s="6">
        <f>VLOOKUP($B10,'FTE Reporting PLAN'!$B:$P,'FTE Reporting PLAN ACT'!G$1,FALSE)</f>
        <v>490.05</v>
      </c>
      <c r="H10" s="6">
        <f>VLOOKUP($B10,'FTE Reporting PLAN'!$B:$P,'FTE Reporting PLAN ACT'!H$1,FALSE)</f>
        <v>485.14949999999999</v>
      </c>
      <c r="I10" s="6">
        <f>VLOOKUP($B10,'FTE Reporting PLAN'!$B:$P,'FTE Reporting PLAN ACT'!I$1,FALSE)</f>
        <v>480.29800499999999</v>
      </c>
      <c r="J10" s="6">
        <f>VLOOKUP($B10,'FTE Reporting PLAN'!$B:$P,'FTE Reporting PLAN ACT'!J$1,FALSE)</f>
        <v>475.49502494999996</v>
      </c>
      <c r="K10" s="6">
        <f>VLOOKUP($B10,'FTE Reporting PLAN'!$B:$P,'FTE Reporting PLAN ACT'!K$1,FALSE)</f>
        <v>470.74007470049997</v>
      </c>
      <c r="L10" s="6">
        <f>VLOOKUP($B10,'FTE Reporting PLAN'!$B:$P,'FTE Reporting PLAN ACT'!L$1,FALSE)</f>
        <v>466.03267395349496</v>
      </c>
      <c r="M10" s="6">
        <f>VLOOKUP($B10,'FTE Reporting PLAN'!$B:$P,'FTE Reporting PLAN ACT'!M$1,FALSE)</f>
        <v>461.37234721395998</v>
      </c>
      <c r="N10" s="6">
        <f>VLOOKUP($B10,'FTE Reporting PLAN'!$B:$P,'FTE Reporting PLAN ACT'!N$1,FALSE)</f>
        <v>456.75862374182037</v>
      </c>
      <c r="O10" s="6">
        <f>VLOOKUP($B10,'FTE Reporting PLAN'!$B:$P,'FTE Reporting PLAN ACT'!O$1,FALSE)</f>
        <v>452.19103750440217</v>
      </c>
      <c r="P10" s="6">
        <f>VLOOKUP($B10,'FTE Reporting PLAN'!$B:$P,'FTE Reporting PLAN ACT'!P$1,FALSE)</f>
        <v>447.66912712935817</v>
      </c>
      <c r="Q10" s="6">
        <f>Tabelle353[[#This Row],[Dec-22]]</f>
        <v>447.66912712935817</v>
      </c>
    </row>
    <row r="11" spans="1:17" s="2" customFormat="1" ht="13.5" customHeight="1">
      <c r="A11" s="2" t="s">
        <v>17</v>
      </c>
      <c r="B11" s="2" t="s">
        <v>33</v>
      </c>
      <c r="C11" s="7" t="str">
        <f>+VLOOKUP(Tabelle353[[#This Row],[Company]],'Drop Downs'!A:B,2,FALSE)</f>
        <v>Europe</v>
      </c>
      <c r="D11" s="7" t="s">
        <v>90</v>
      </c>
      <c r="E11" s="6">
        <f>+VLOOKUP($B11,'FTE Reporting ACT'!$C:$P,E$1,FALSE)</f>
        <v>500</v>
      </c>
      <c r="F11" s="6">
        <f>+VLOOKUP($B11,'FTE Reporting ACT'!$C:$P,F$1,FALSE)</f>
        <v>502</v>
      </c>
      <c r="G11" s="6">
        <f>+VLOOKUP($B11,'FTE Reporting ACT'!$C:$P,G$1,FALSE)</f>
        <v>503</v>
      </c>
      <c r="H11" s="6">
        <f>+VLOOKUP($B11,'FTE Reporting ACT'!$C:$P,H$1,FALSE)</f>
        <v>503</v>
      </c>
      <c r="I11" s="6">
        <f>+VLOOKUP($B11,'FTE Reporting ACT'!$C:$P,I$1,FALSE)</f>
        <v>503</v>
      </c>
      <c r="J11" s="6">
        <f>+VLOOKUP($B11,'FTE Reporting ACT'!$C:$P,J$1,FALSE)</f>
        <v>503</v>
      </c>
      <c r="K11" s="6">
        <f>+VLOOKUP($B11,'FTE Reporting ACT'!$C:$P,K$1,FALSE)</f>
        <v>503</v>
      </c>
      <c r="L11" s="6">
        <f>+VLOOKUP($B11,'FTE Reporting ACT'!$C:$P,L$1,FALSE)</f>
        <v>0</v>
      </c>
      <c r="M11" s="6">
        <f>+VLOOKUP($B11,'FTE Reporting ACT'!$C:$P,M$1,FALSE)</f>
        <v>0</v>
      </c>
      <c r="N11" s="6">
        <f>+VLOOKUP($B11,'FTE Reporting ACT'!$C:$P,N$1,FALSE)</f>
        <v>0</v>
      </c>
      <c r="O11" s="6">
        <f>+VLOOKUP($B11,'FTE Reporting ACT'!$C:$P,O$1,FALSE)</f>
        <v>0</v>
      </c>
      <c r="P11" s="6">
        <f>+VLOOKUP($B11,'FTE Reporting ACT'!$C:$P,P$1,FALSE)</f>
        <v>0</v>
      </c>
      <c r="Q11" s="7">
        <f>ROUNDUP(Tabelle353[[#This Row],[Dec-22]],0)</f>
        <v>0</v>
      </c>
    </row>
    <row r="12" spans="1:17" s="2" customFormat="1" ht="13.5" customHeight="1">
      <c r="A12" s="2" t="s">
        <v>18</v>
      </c>
      <c r="B12" s="2" t="s">
        <v>34</v>
      </c>
      <c r="C12" s="2" t="str">
        <f>+VLOOKUP(Tabelle353[[#This Row],[Company]],'Drop Downs'!A:B,2,FALSE)</f>
        <v>Europe</v>
      </c>
      <c r="D12" s="2" t="s">
        <v>89</v>
      </c>
      <c r="E12" s="6">
        <f>VLOOKUP($B12,'FTE Reporting PLAN'!$B:$P,'FTE Reporting PLAN ACT'!E$1,FALSE)</f>
        <v>200</v>
      </c>
      <c r="F12" s="6">
        <f>VLOOKUP($B12,'FTE Reporting PLAN'!$B:$P,'FTE Reporting PLAN ACT'!F$1,FALSE)</f>
        <v>198</v>
      </c>
      <c r="G12" s="6">
        <f>VLOOKUP($B12,'FTE Reporting PLAN'!$B:$P,'FTE Reporting PLAN ACT'!G$1,FALSE)</f>
        <v>196.02</v>
      </c>
      <c r="H12" s="6">
        <f>VLOOKUP($B12,'FTE Reporting PLAN'!$B:$P,'FTE Reporting PLAN ACT'!H$1,FALSE)</f>
        <v>194.0598</v>
      </c>
      <c r="I12" s="6">
        <f>VLOOKUP($B12,'FTE Reporting PLAN'!$B:$P,'FTE Reporting PLAN ACT'!I$1,FALSE)</f>
        <v>192.119202</v>
      </c>
      <c r="J12" s="6">
        <f>VLOOKUP($B12,'FTE Reporting PLAN'!$B:$P,'FTE Reporting PLAN ACT'!J$1,FALSE)</f>
        <v>190.19800997999999</v>
      </c>
      <c r="K12" s="6">
        <f>VLOOKUP($B12,'FTE Reporting PLAN'!$B:$P,'FTE Reporting PLAN ACT'!K$1,FALSE)</f>
        <v>188.2960298802</v>
      </c>
      <c r="L12" s="6">
        <f>VLOOKUP($B12,'FTE Reporting PLAN'!$B:$P,'FTE Reporting PLAN ACT'!L$1,FALSE)</f>
        <v>186.41306958139799</v>
      </c>
      <c r="M12" s="6">
        <f>VLOOKUP($B12,'FTE Reporting PLAN'!$B:$P,'FTE Reporting PLAN ACT'!M$1,FALSE)</f>
        <v>184.54893888558402</v>
      </c>
      <c r="N12" s="6">
        <f>VLOOKUP($B12,'FTE Reporting PLAN'!$B:$P,'FTE Reporting PLAN ACT'!N$1,FALSE)</f>
        <v>182.70344949672818</v>
      </c>
      <c r="O12" s="6">
        <f>VLOOKUP($B12,'FTE Reporting PLAN'!$B:$P,'FTE Reporting PLAN ACT'!O$1,FALSE)</f>
        <v>180.8764150017609</v>
      </c>
      <c r="P12" s="6">
        <f>VLOOKUP($B12,'FTE Reporting PLAN'!$B:$P,'FTE Reporting PLAN ACT'!P$1,FALSE)</f>
        <v>179.06765085174328</v>
      </c>
      <c r="Q12" s="6">
        <f>Tabelle353[[#This Row],[Dec-22]]</f>
        <v>179.06765085174328</v>
      </c>
    </row>
    <row r="13" spans="1:17" s="2" customFormat="1" ht="13.5" customHeight="1">
      <c r="A13" s="2" t="s">
        <v>18</v>
      </c>
      <c r="B13" s="2" t="s">
        <v>34</v>
      </c>
      <c r="C13" s="7" t="str">
        <f>+VLOOKUP(Tabelle353[[#This Row],[Company]],'Drop Downs'!A:B,2,FALSE)</f>
        <v>Europe</v>
      </c>
      <c r="D13" s="7" t="s">
        <v>90</v>
      </c>
      <c r="E13" s="6">
        <f>+VLOOKUP($B13,'FTE Reporting ACT'!$C:$P,E$1,FALSE)</f>
        <v>200</v>
      </c>
      <c r="F13" s="6">
        <f>+VLOOKUP($B13,'FTE Reporting ACT'!$C:$P,F$1,FALSE)</f>
        <v>200</v>
      </c>
      <c r="G13" s="6">
        <f>+VLOOKUP($B13,'FTE Reporting ACT'!$C:$P,G$1,FALSE)</f>
        <v>200</v>
      </c>
      <c r="H13" s="6">
        <f>+VLOOKUP($B13,'FTE Reporting ACT'!$C:$P,H$1,FALSE)</f>
        <v>199</v>
      </c>
      <c r="I13" s="6">
        <f>+VLOOKUP($B13,'FTE Reporting ACT'!$C:$P,I$1,FALSE)</f>
        <v>198</v>
      </c>
      <c r="J13" s="6">
        <f>+VLOOKUP($B13,'FTE Reporting ACT'!$C:$P,J$1,FALSE)</f>
        <v>198</v>
      </c>
      <c r="K13" s="6">
        <f>+VLOOKUP($B13,'FTE Reporting ACT'!$C:$P,K$1,FALSE)</f>
        <v>198</v>
      </c>
      <c r="L13" s="6">
        <f>+VLOOKUP($B13,'FTE Reporting ACT'!$C:$P,L$1,FALSE)</f>
        <v>0</v>
      </c>
      <c r="M13" s="6">
        <f>+VLOOKUP($B13,'FTE Reporting ACT'!$C:$P,M$1,FALSE)</f>
        <v>0</v>
      </c>
      <c r="N13" s="6">
        <f>+VLOOKUP($B13,'FTE Reporting ACT'!$C:$P,N$1,FALSE)</f>
        <v>0</v>
      </c>
      <c r="O13" s="6">
        <f>+VLOOKUP($B13,'FTE Reporting ACT'!$C:$P,O$1,FALSE)</f>
        <v>0</v>
      </c>
      <c r="P13" s="6">
        <f>+VLOOKUP($B13,'FTE Reporting ACT'!$C:$P,P$1,FALSE)</f>
        <v>0</v>
      </c>
      <c r="Q13" s="7">
        <f>ROUNDUP(Tabelle353[[#This Row],[Dec-22]],0)</f>
        <v>0</v>
      </c>
    </row>
    <row r="14" spans="1:17" s="2" customFormat="1" ht="13.5" customHeight="1">
      <c r="A14" s="2" t="s">
        <v>18</v>
      </c>
      <c r="B14" s="2" t="s">
        <v>35</v>
      </c>
      <c r="C14" s="7" t="str">
        <f>+VLOOKUP(Tabelle353[[#This Row],[Company]],'Drop Downs'!A:B,2,FALSE)</f>
        <v>Europe</v>
      </c>
      <c r="D14" s="2" t="s">
        <v>89</v>
      </c>
      <c r="E14" s="6">
        <f>VLOOKUP($B14,'FTE Reporting PLAN'!$B:$P,'FTE Reporting PLAN ACT'!E$1,FALSE)</f>
        <v>20</v>
      </c>
      <c r="F14" s="6">
        <f>VLOOKUP($B14,'FTE Reporting PLAN'!$B:$P,'FTE Reporting PLAN ACT'!F$1,FALSE)</f>
        <v>19.8</v>
      </c>
      <c r="G14" s="6">
        <f>VLOOKUP($B14,'FTE Reporting PLAN'!$B:$P,'FTE Reporting PLAN ACT'!G$1,FALSE)</f>
        <v>19.602</v>
      </c>
      <c r="H14" s="6">
        <f>VLOOKUP($B14,'FTE Reporting PLAN'!$B:$P,'FTE Reporting PLAN ACT'!H$1,FALSE)</f>
        <v>19.40598</v>
      </c>
      <c r="I14" s="6">
        <f>VLOOKUP($B14,'FTE Reporting PLAN'!$B:$P,'FTE Reporting PLAN ACT'!I$1,FALSE)</f>
        <v>19.211920199999998</v>
      </c>
      <c r="J14" s="6">
        <f>VLOOKUP($B14,'FTE Reporting PLAN'!$B:$P,'FTE Reporting PLAN ACT'!J$1,FALSE)</f>
        <v>19.019800997999997</v>
      </c>
      <c r="K14" s="6">
        <f>VLOOKUP($B14,'FTE Reporting PLAN'!$B:$P,'FTE Reporting PLAN ACT'!K$1,FALSE)</f>
        <v>18.829602988019996</v>
      </c>
      <c r="L14" s="6">
        <f>VLOOKUP($B14,'FTE Reporting PLAN'!$B:$P,'FTE Reporting PLAN ACT'!L$1,FALSE)</f>
        <v>18.641306958139797</v>
      </c>
      <c r="M14" s="6">
        <f>VLOOKUP($B14,'FTE Reporting PLAN'!$B:$P,'FTE Reporting PLAN ACT'!M$1,FALSE)</f>
        <v>18.454893888558399</v>
      </c>
      <c r="N14" s="6">
        <f>VLOOKUP($B14,'FTE Reporting PLAN'!$B:$P,'FTE Reporting PLAN ACT'!N$1,FALSE)</f>
        <v>18.270344949672815</v>
      </c>
      <c r="O14" s="6">
        <f>VLOOKUP($B14,'FTE Reporting PLAN'!$B:$P,'FTE Reporting PLAN ACT'!O$1,FALSE)</f>
        <v>18.087641500176087</v>
      </c>
      <c r="P14" s="6">
        <f>VLOOKUP($B14,'FTE Reporting PLAN'!$B:$P,'FTE Reporting PLAN ACT'!P$1,FALSE)</f>
        <v>17.906765085174325</v>
      </c>
      <c r="Q14" s="6">
        <f>Tabelle353[[#This Row],[Dec-22]]</f>
        <v>17.906765085174325</v>
      </c>
    </row>
    <row r="15" spans="1:17" s="2" customFormat="1" ht="13.5" customHeight="1">
      <c r="A15" s="2" t="s">
        <v>18</v>
      </c>
      <c r="B15" s="2" t="s">
        <v>35</v>
      </c>
      <c r="C15" s="7" t="str">
        <f>+VLOOKUP(Tabelle353[[#This Row],[Company]],'Drop Downs'!A:B,2,FALSE)</f>
        <v>Europe</v>
      </c>
      <c r="D15" s="7" t="s">
        <v>90</v>
      </c>
      <c r="E15" s="6">
        <f>+VLOOKUP($B15,'FTE Reporting ACT'!$C:$P,E$1,FALSE)</f>
        <v>20</v>
      </c>
      <c r="F15" s="6">
        <f>+VLOOKUP($B15,'FTE Reporting ACT'!$C:$P,F$1,FALSE)</f>
        <v>20</v>
      </c>
      <c r="G15" s="6">
        <f>+VLOOKUP($B15,'FTE Reporting ACT'!$C:$P,G$1,FALSE)</f>
        <v>19</v>
      </c>
      <c r="H15" s="6">
        <f>+VLOOKUP($B15,'FTE Reporting ACT'!$C:$P,H$1,FALSE)</f>
        <v>18</v>
      </c>
      <c r="I15" s="6">
        <f>+VLOOKUP($B15,'FTE Reporting ACT'!$C:$P,I$1,FALSE)</f>
        <v>17</v>
      </c>
      <c r="J15" s="6">
        <f>+VLOOKUP($B15,'FTE Reporting ACT'!$C:$P,J$1,FALSE)</f>
        <v>17</v>
      </c>
      <c r="K15" s="6">
        <f>+VLOOKUP($B15,'FTE Reporting ACT'!$C:$P,K$1,FALSE)</f>
        <v>17</v>
      </c>
      <c r="L15" s="6">
        <f>+VLOOKUP($B15,'FTE Reporting ACT'!$C:$P,L$1,FALSE)</f>
        <v>0</v>
      </c>
      <c r="M15" s="6">
        <f>+VLOOKUP($B15,'FTE Reporting ACT'!$C:$P,M$1,FALSE)</f>
        <v>0</v>
      </c>
      <c r="N15" s="6">
        <f>+VLOOKUP($B15,'FTE Reporting ACT'!$C:$P,N$1,FALSE)</f>
        <v>0</v>
      </c>
      <c r="O15" s="6">
        <f>+VLOOKUP($B15,'FTE Reporting ACT'!$C:$P,O$1,FALSE)</f>
        <v>0</v>
      </c>
      <c r="P15" s="6">
        <f>+VLOOKUP($B15,'FTE Reporting ACT'!$C:$P,P$1,FALSE)</f>
        <v>0</v>
      </c>
      <c r="Q15" s="7">
        <f>ROUNDUP(Tabelle353[[#This Row],[Dec-22]],0)</f>
        <v>0</v>
      </c>
    </row>
    <row r="16" spans="1:17" s="2" customFormat="1" ht="13.5" customHeight="1">
      <c r="A16" s="2" t="s">
        <v>18</v>
      </c>
      <c r="B16" s="2" t="s">
        <v>36</v>
      </c>
      <c r="C16" s="7" t="str">
        <f>+VLOOKUP(Tabelle353[[#This Row],[Company]],'Drop Downs'!A:B,2,FALSE)</f>
        <v>Europe</v>
      </c>
      <c r="D16" s="2" t="s">
        <v>89</v>
      </c>
      <c r="E16" s="6">
        <f>VLOOKUP($B16,'FTE Reporting PLAN'!$B:$P,'FTE Reporting PLAN ACT'!E$1,FALSE)</f>
        <v>20</v>
      </c>
      <c r="F16" s="6">
        <f>VLOOKUP($B16,'FTE Reporting PLAN'!$B:$P,'FTE Reporting PLAN ACT'!F$1,FALSE)</f>
        <v>19.8</v>
      </c>
      <c r="G16" s="6">
        <f>VLOOKUP($B16,'FTE Reporting PLAN'!$B:$P,'FTE Reporting PLAN ACT'!G$1,FALSE)</f>
        <v>19.602</v>
      </c>
      <c r="H16" s="6">
        <f>VLOOKUP($B16,'FTE Reporting PLAN'!$B:$P,'FTE Reporting PLAN ACT'!H$1,FALSE)</f>
        <v>19.40598</v>
      </c>
      <c r="I16" s="6">
        <f>VLOOKUP($B16,'FTE Reporting PLAN'!$B:$P,'FTE Reporting PLAN ACT'!I$1,FALSE)</f>
        <v>19.211920199999998</v>
      </c>
      <c r="J16" s="6">
        <f>VLOOKUP($B16,'FTE Reporting PLAN'!$B:$P,'FTE Reporting PLAN ACT'!J$1,FALSE)</f>
        <v>19.019800997999997</v>
      </c>
      <c r="K16" s="6">
        <f>VLOOKUP($B16,'FTE Reporting PLAN'!$B:$P,'FTE Reporting PLAN ACT'!K$1,FALSE)</f>
        <v>18.829602988019996</v>
      </c>
      <c r="L16" s="6">
        <f>VLOOKUP($B16,'FTE Reporting PLAN'!$B:$P,'FTE Reporting PLAN ACT'!L$1,FALSE)</f>
        <v>18.641306958139797</v>
      </c>
      <c r="M16" s="6">
        <f>VLOOKUP($B16,'FTE Reporting PLAN'!$B:$P,'FTE Reporting PLAN ACT'!M$1,FALSE)</f>
        <v>18.454893888558399</v>
      </c>
      <c r="N16" s="6">
        <f>VLOOKUP($B16,'FTE Reporting PLAN'!$B:$P,'FTE Reporting PLAN ACT'!N$1,FALSE)</f>
        <v>18.270344949672815</v>
      </c>
      <c r="O16" s="6">
        <f>VLOOKUP($B16,'FTE Reporting PLAN'!$B:$P,'FTE Reporting PLAN ACT'!O$1,FALSE)</f>
        <v>18.087641500176087</v>
      </c>
      <c r="P16" s="6">
        <f>VLOOKUP($B16,'FTE Reporting PLAN'!$B:$P,'FTE Reporting PLAN ACT'!P$1,FALSE)</f>
        <v>17.906765085174325</v>
      </c>
      <c r="Q16" s="6">
        <f>Tabelle353[[#This Row],[Dec-22]]</f>
        <v>17.906765085174325</v>
      </c>
    </row>
    <row r="17" spans="1:17" s="2" customFormat="1" ht="13.5" customHeight="1">
      <c r="A17" s="2" t="s">
        <v>18</v>
      </c>
      <c r="B17" s="2" t="s">
        <v>36</v>
      </c>
      <c r="C17" s="7" t="str">
        <f>+VLOOKUP(Tabelle353[[#This Row],[Company]],'Drop Downs'!A:B,2,FALSE)</f>
        <v>Europe</v>
      </c>
      <c r="D17" s="7" t="s">
        <v>90</v>
      </c>
      <c r="E17" s="6">
        <f>+VLOOKUP($B17,'FTE Reporting ACT'!$C:$P,E$1,FALSE)</f>
        <v>20</v>
      </c>
      <c r="F17" s="6">
        <f>+VLOOKUP($B17,'FTE Reporting ACT'!$C:$P,F$1,FALSE)</f>
        <v>20</v>
      </c>
      <c r="G17" s="6">
        <f>+VLOOKUP($B17,'FTE Reporting ACT'!$C:$P,G$1,FALSE)</f>
        <v>18</v>
      </c>
      <c r="H17" s="6">
        <f>+VLOOKUP($B17,'FTE Reporting ACT'!$C:$P,H$1,FALSE)</f>
        <v>15</v>
      </c>
      <c r="I17" s="6">
        <f>+VLOOKUP($B17,'FTE Reporting ACT'!$C:$P,I$1,FALSE)</f>
        <v>15</v>
      </c>
      <c r="J17" s="6">
        <f>+VLOOKUP($B17,'FTE Reporting ACT'!$C:$P,J$1,FALSE)</f>
        <v>15</v>
      </c>
      <c r="K17" s="6">
        <f>+VLOOKUP($B17,'FTE Reporting ACT'!$C:$P,K$1,FALSE)</f>
        <v>15</v>
      </c>
      <c r="L17" s="6">
        <f>+VLOOKUP($B17,'FTE Reporting ACT'!$C:$P,L$1,FALSE)</f>
        <v>0</v>
      </c>
      <c r="M17" s="6">
        <f>+VLOOKUP($B17,'FTE Reporting ACT'!$C:$P,M$1,FALSE)</f>
        <v>0</v>
      </c>
      <c r="N17" s="6">
        <f>+VLOOKUP($B17,'FTE Reporting ACT'!$C:$P,N$1,FALSE)</f>
        <v>0</v>
      </c>
      <c r="O17" s="6">
        <f>+VLOOKUP($B17,'FTE Reporting ACT'!$C:$P,O$1,FALSE)</f>
        <v>0</v>
      </c>
      <c r="P17" s="6">
        <f>+VLOOKUP($B17,'FTE Reporting ACT'!$C:$P,P$1,FALSE)</f>
        <v>0</v>
      </c>
      <c r="Q17" s="7">
        <f>ROUNDUP(Tabelle353[[#This Row],[Dec-22]],0)</f>
        <v>0</v>
      </c>
    </row>
    <row r="18" spans="1:17" s="2" customFormat="1" ht="13.5" customHeight="1">
      <c r="A18" s="2" t="s">
        <v>19</v>
      </c>
      <c r="B18" s="2" t="s">
        <v>30</v>
      </c>
      <c r="C18" s="2" t="str">
        <f>+VLOOKUP(Tabelle353[[#This Row],[Company]],'Drop Downs'!A:B,2,FALSE)</f>
        <v>Americas</v>
      </c>
      <c r="D18" s="2" t="s">
        <v>89</v>
      </c>
      <c r="E18" s="6">
        <f>VLOOKUP($B18,'FTE Reporting PLAN'!$B:$P,'FTE Reporting PLAN ACT'!E$1,FALSE)</f>
        <v>150</v>
      </c>
      <c r="F18" s="6">
        <f>VLOOKUP($B18,'FTE Reporting PLAN'!$B:$P,'FTE Reporting PLAN ACT'!F$1,FALSE)</f>
        <v>148.5</v>
      </c>
      <c r="G18" s="6">
        <f>VLOOKUP($B18,'FTE Reporting PLAN'!$B:$P,'FTE Reporting PLAN ACT'!G$1,FALSE)</f>
        <v>147.01499999999999</v>
      </c>
      <c r="H18" s="6">
        <f>VLOOKUP($B18,'FTE Reporting PLAN'!$B:$P,'FTE Reporting PLAN ACT'!H$1,FALSE)</f>
        <v>145.54485</v>
      </c>
      <c r="I18" s="6">
        <f>VLOOKUP($B18,'FTE Reporting PLAN'!$B:$P,'FTE Reporting PLAN ACT'!I$1,FALSE)</f>
        <v>144.08940150000001</v>
      </c>
      <c r="J18" s="6">
        <f>VLOOKUP($B18,'FTE Reporting PLAN'!$B:$P,'FTE Reporting PLAN ACT'!J$1,FALSE)</f>
        <v>142.64850748500001</v>
      </c>
      <c r="K18" s="6">
        <f>VLOOKUP($B18,'FTE Reporting PLAN'!$B:$P,'FTE Reporting PLAN ACT'!K$1,FALSE)</f>
        <v>141.22202241015</v>
      </c>
      <c r="L18" s="6">
        <f>VLOOKUP($B18,'FTE Reporting PLAN'!$B:$P,'FTE Reporting PLAN ACT'!L$1,FALSE)</f>
        <v>139.8098021860485</v>
      </c>
      <c r="M18" s="6">
        <f>VLOOKUP($B18,'FTE Reporting PLAN'!$B:$P,'FTE Reporting PLAN ACT'!M$1,FALSE)</f>
        <v>138.41170416418802</v>
      </c>
      <c r="N18" s="6">
        <f>VLOOKUP($B18,'FTE Reporting PLAN'!$B:$P,'FTE Reporting PLAN ACT'!N$1,FALSE)</f>
        <v>137.02758712254615</v>
      </c>
      <c r="O18" s="6">
        <f>VLOOKUP($B18,'FTE Reporting PLAN'!$B:$P,'FTE Reporting PLAN ACT'!O$1,FALSE)</f>
        <v>135.65731125132069</v>
      </c>
      <c r="P18" s="6">
        <f>VLOOKUP($B18,'FTE Reporting PLAN'!$B:$P,'FTE Reporting PLAN ACT'!P$1,FALSE)</f>
        <v>134.30073813880747</v>
      </c>
      <c r="Q18" s="6">
        <f>Tabelle353[[#This Row],[Dec-22]]</f>
        <v>134.30073813880747</v>
      </c>
    </row>
    <row r="19" spans="1:17" s="2" customFormat="1" ht="13.5" customHeight="1">
      <c r="A19" s="2" t="s">
        <v>19</v>
      </c>
      <c r="B19" s="2" t="s">
        <v>30</v>
      </c>
      <c r="C19" s="7" t="str">
        <f>+VLOOKUP(Tabelle353[[#This Row],[Company]],'Drop Downs'!A:B,2,FALSE)</f>
        <v>Americas</v>
      </c>
      <c r="D19" s="7" t="s">
        <v>90</v>
      </c>
      <c r="E19" s="6">
        <f>+VLOOKUP($B19,'FTE Reporting ACT'!$C:$P,E$1,FALSE)</f>
        <v>150</v>
      </c>
      <c r="F19" s="6">
        <f>+VLOOKUP($B19,'FTE Reporting ACT'!$C:$P,F$1,FALSE)</f>
        <v>150</v>
      </c>
      <c r="G19" s="6">
        <f>+VLOOKUP($B19,'FTE Reporting ACT'!$C:$P,G$1,FALSE)</f>
        <v>155</v>
      </c>
      <c r="H19" s="6">
        <f>+VLOOKUP($B19,'FTE Reporting ACT'!$C:$P,H$1,FALSE)</f>
        <v>155</v>
      </c>
      <c r="I19" s="6">
        <f>+VLOOKUP($B19,'FTE Reporting ACT'!$C:$P,I$1,FALSE)</f>
        <v>155</v>
      </c>
      <c r="J19" s="6">
        <f>+VLOOKUP($B19,'FTE Reporting ACT'!$C:$P,J$1,FALSE)</f>
        <v>155</v>
      </c>
      <c r="K19" s="6">
        <f>+VLOOKUP($B19,'FTE Reporting ACT'!$C:$P,K$1,FALSE)</f>
        <v>155</v>
      </c>
      <c r="L19" s="6">
        <f>+VLOOKUP($B19,'FTE Reporting ACT'!$C:$P,L$1,FALSE)</f>
        <v>0</v>
      </c>
      <c r="M19" s="6">
        <f>+VLOOKUP($B19,'FTE Reporting ACT'!$C:$P,M$1,FALSE)</f>
        <v>0</v>
      </c>
      <c r="N19" s="6">
        <f>+VLOOKUP($B19,'FTE Reporting ACT'!$C:$P,N$1,FALSE)</f>
        <v>0</v>
      </c>
      <c r="O19" s="6">
        <f>+VLOOKUP($B19,'FTE Reporting ACT'!$C:$P,O$1,FALSE)</f>
        <v>0</v>
      </c>
      <c r="P19" s="6">
        <f>+VLOOKUP($B19,'FTE Reporting ACT'!$C:$P,P$1,FALSE)</f>
        <v>0</v>
      </c>
      <c r="Q19" s="7">
        <f>ROUNDUP(Tabelle353[[#This Row],[Dec-22]],0)</f>
        <v>0</v>
      </c>
    </row>
    <row r="20" spans="1:17" s="2" customFormat="1" ht="13.5" customHeight="1">
      <c r="A20" s="2" t="s">
        <v>20</v>
      </c>
      <c r="B20" s="2" t="s">
        <v>37</v>
      </c>
      <c r="C20" s="2" t="str">
        <f>+VLOOKUP(Tabelle353[[#This Row],[Company]],'Drop Downs'!A:B,2,FALSE)</f>
        <v>Americas</v>
      </c>
      <c r="D20" s="2" t="s">
        <v>89</v>
      </c>
      <c r="E20" s="6">
        <f>VLOOKUP($B20,'FTE Reporting PLAN'!$B:$P,'FTE Reporting PLAN ACT'!E$1,FALSE)</f>
        <v>20</v>
      </c>
      <c r="F20" s="6">
        <f>VLOOKUP($B20,'FTE Reporting PLAN'!$B:$P,'FTE Reporting PLAN ACT'!F$1,FALSE)</f>
        <v>19.8</v>
      </c>
      <c r="G20" s="6">
        <f>VLOOKUP($B20,'FTE Reporting PLAN'!$B:$P,'FTE Reporting PLAN ACT'!G$1,FALSE)</f>
        <v>19.602</v>
      </c>
      <c r="H20" s="6">
        <f>VLOOKUP($B20,'FTE Reporting PLAN'!$B:$P,'FTE Reporting PLAN ACT'!H$1,FALSE)</f>
        <v>19.40598</v>
      </c>
      <c r="I20" s="6">
        <f>VLOOKUP($B20,'FTE Reporting PLAN'!$B:$P,'FTE Reporting PLAN ACT'!I$1,FALSE)</f>
        <v>19.211920199999998</v>
      </c>
      <c r="J20" s="6">
        <f>VLOOKUP($B20,'FTE Reporting PLAN'!$B:$P,'FTE Reporting PLAN ACT'!J$1,FALSE)</f>
        <v>19.019800997999997</v>
      </c>
      <c r="K20" s="6">
        <f>VLOOKUP($B20,'FTE Reporting PLAN'!$B:$P,'FTE Reporting PLAN ACT'!K$1,FALSE)</f>
        <v>18.829602988019996</v>
      </c>
      <c r="L20" s="6">
        <f>VLOOKUP($B20,'FTE Reporting PLAN'!$B:$P,'FTE Reporting PLAN ACT'!L$1,FALSE)</f>
        <v>18.641306958139797</v>
      </c>
      <c r="M20" s="6">
        <f>VLOOKUP($B20,'FTE Reporting PLAN'!$B:$P,'FTE Reporting PLAN ACT'!M$1,FALSE)</f>
        <v>18.454893888558399</v>
      </c>
      <c r="N20" s="6">
        <f>VLOOKUP($B20,'FTE Reporting PLAN'!$B:$P,'FTE Reporting PLAN ACT'!N$1,FALSE)</f>
        <v>18.270344949672815</v>
      </c>
      <c r="O20" s="6">
        <f>VLOOKUP($B20,'FTE Reporting PLAN'!$B:$P,'FTE Reporting PLAN ACT'!O$1,FALSE)</f>
        <v>18.087641500176087</v>
      </c>
      <c r="P20" s="6">
        <f>VLOOKUP($B20,'FTE Reporting PLAN'!$B:$P,'FTE Reporting PLAN ACT'!P$1,FALSE)</f>
        <v>17.906765085174325</v>
      </c>
      <c r="Q20" s="6">
        <f>Tabelle353[[#This Row],[Dec-22]]</f>
        <v>17.906765085174325</v>
      </c>
    </row>
    <row r="21" spans="1:17" s="2" customFormat="1" ht="13.5" customHeight="1">
      <c r="A21" s="2" t="s">
        <v>20</v>
      </c>
      <c r="B21" s="2" t="s">
        <v>37</v>
      </c>
      <c r="C21" s="7" t="str">
        <f>+VLOOKUP(Tabelle353[[#This Row],[Company]],'Drop Downs'!A:B,2,FALSE)</f>
        <v>Americas</v>
      </c>
      <c r="D21" s="7" t="s">
        <v>90</v>
      </c>
      <c r="E21" s="6">
        <f>+VLOOKUP($B21,'FTE Reporting ACT'!$C:$P,E$1,FALSE)</f>
        <v>20</v>
      </c>
      <c r="F21" s="6">
        <f>+VLOOKUP($B21,'FTE Reporting ACT'!$C:$P,F$1,FALSE)</f>
        <v>20</v>
      </c>
      <c r="G21" s="6">
        <f>+VLOOKUP($B21,'FTE Reporting ACT'!$C:$P,G$1,FALSE)</f>
        <v>21</v>
      </c>
      <c r="H21" s="6">
        <f>+VLOOKUP($B21,'FTE Reporting ACT'!$C:$P,H$1,FALSE)</f>
        <v>21</v>
      </c>
      <c r="I21" s="6">
        <f>+VLOOKUP($B21,'FTE Reporting ACT'!$C:$P,I$1,FALSE)</f>
        <v>22</v>
      </c>
      <c r="J21" s="6">
        <f>+VLOOKUP($B21,'FTE Reporting ACT'!$C:$P,J$1,FALSE)</f>
        <v>22</v>
      </c>
      <c r="K21" s="6">
        <f>+VLOOKUP($B21,'FTE Reporting ACT'!$C:$P,K$1,FALSE)</f>
        <v>22</v>
      </c>
      <c r="L21" s="6">
        <f>+VLOOKUP($B21,'FTE Reporting ACT'!$C:$P,L$1,FALSE)</f>
        <v>0</v>
      </c>
      <c r="M21" s="6">
        <f>+VLOOKUP($B21,'FTE Reporting ACT'!$C:$P,M$1,FALSE)</f>
        <v>0</v>
      </c>
      <c r="N21" s="6">
        <f>+VLOOKUP($B21,'FTE Reporting ACT'!$C:$P,N$1,FALSE)</f>
        <v>0</v>
      </c>
      <c r="O21" s="6">
        <f>+VLOOKUP($B21,'FTE Reporting ACT'!$C:$P,O$1,FALSE)</f>
        <v>0</v>
      </c>
      <c r="P21" s="6">
        <f>+VLOOKUP($B21,'FTE Reporting ACT'!$C:$P,P$1,FALSE)</f>
        <v>0</v>
      </c>
      <c r="Q21" s="7">
        <f>ROUNDUP(Tabelle353[[#This Row],[Dec-22]],0)</f>
        <v>0</v>
      </c>
    </row>
    <row r="22" spans="1:17" s="2" customFormat="1" ht="13.5" customHeight="1">
      <c r="A22" s="2" t="s">
        <v>21</v>
      </c>
      <c r="B22" s="2" t="s">
        <v>38</v>
      </c>
      <c r="C22" s="2" t="str">
        <f>+VLOOKUP(Tabelle353[[#This Row],[Company]],'Drop Downs'!A:B,2,FALSE)</f>
        <v>Asia</v>
      </c>
      <c r="D22" s="2" t="s">
        <v>89</v>
      </c>
      <c r="E22" s="6">
        <f>VLOOKUP($B22,'FTE Reporting PLAN'!$B:$P,'FTE Reporting PLAN ACT'!E$1,FALSE)</f>
        <v>150</v>
      </c>
      <c r="F22" s="6">
        <f>VLOOKUP($B22,'FTE Reporting PLAN'!$B:$P,'FTE Reporting PLAN ACT'!F$1,FALSE)</f>
        <v>151.5</v>
      </c>
      <c r="G22" s="6">
        <f>VLOOKUP($B22,'FTE Reporting PLAN'!$B:$P,'FTE Reporting PLAN ACT'!G$1,FALSE)</f>
        <v>153.01500000000001</v>
      </c>
      <c r="H22" s="6">
        <f>VLOOKUP($B22,'FTE Reporting PLAN'!$B:$P,'FTE Reporting PLAN ACT'!H$1,FALSE)</f>
        <v>154.54515000000001</v>
      </c>
      <c r="I22" s="6">
        <f>VLOOKUP($B22,'FTE Reporting PLAN'!$B:$P,'FTE Reporting PLAN ACT'!I$1,FALSE)</f>
        <v>156.09060150000002</v>
      </c>
      <c r="J22" s="6">
        <f>VLOOKUP($B22,'FTE Reporting PLAN'!$B:$P,'FTE Reporting PLAN ACT'!J$1,FALSE)</f>
        <v>157.65150751500002</v>
      </c>
      <c r="K22" s="6">
        <f>VLOOKUP($B22,'FTE Reporting PLAN'!$B:$P,'FTE Reporting PLAN ACT'!K$1,FALSE)</f>
        <v>159.22802259015003</v>
      </c>
      <c r="L22" s="6">
        <f>VLOOKUP($B22,'FTE Reporting PLAN'!$B:$P,'FTE Reporting PLAN ACT'!L$1,FALSE)</f>
        <v>160.82030281605154</v>
      </c>
      <c r="M22" s="6">
        <f>VLOOKUP($B22,'FTE Reporting PLAN'!$B:$P,'FTE Reporting PLAN ACT'!M$1,FALSE)</f>
        <v>162.42850584421205</v>
      </c>
      <c r="N22" s="6">
        <f>VLOOKUP($B22,'FTE Reporting PLAN'!$B:$P,'FTE Reporting PLAN ACT'!N$1,FALSE)</f>
        <v>164.05279090265418</v>
      </c>
      <c r="O22" s="6">
        <f>VLOOKUP($B22,'FTE Reporting PLAN'!$B:$P,'FTE Reporting PLAN ACT'!O$1,FALSE)</f>
        <v>165.69331881168071</v>
      </c>
      <c r="P22" s="6">
        <f>VLOOKUP($B22,'FTE Reporting PLAN'!$B:$P,'FTE Reporting PLAN ACT'!P$1,FALSE)</f>
        <v>167.35025199979751</v>
      </c>
      <c r="Q22" s="6">
        <f>Tabelle353[[#This Row],[Dec-22]]</f>
        <v>167.35025199979751</v>
      </c>
    </row>
    <row r="23" spans="1:17" s="2" customFormat="1" ht="13.5" customHeight="1">
      <c r="A23" s="2" t="s">
        <v>21</v>
      </c>
      <c r="B23" s="2" t="s">
        <v>38</v>
      </c>
      <c r="C23" s="7" t="str">
        <f>+VLOOKUP(Tabelle353[[#This Row],[Company]],'Drop Downs'!A:B,2,FALSE)</f>
        <v>Asia</v>
      </c>
      <c r="D23" s="7" t="s">
        <v>90</v>
      </c>
      <c r="E23" s="6">
        <f>+VLOOKUP($B23,'FTE Reporting ACT'!$C:$P,E$1,FALSE)</f>
        <v>150</v>
      </c>
      <c r="F23" s="6">
        <f>+VLOOKUP($B23,'FTE Reporting ACT'!$C:$P,F$1,FALSE)</f>
        <v>150</v>
      </c>
      <c r="G23" s="6">
        <f>+VLOOKUP($B23,'FTE Reporting ACT'!$C:$P,G$1,FALSE)</f>
        <v>160</v>
      </c>
      <c r="H23" s="6">
        <f>+VLOOKUP($B23,'FTE Reporting ACT'!$C:$P,H$1,FALSE)</f>
        <v>170</v>
      </c>
      <c r="I23" s="6">
        <f>+VLOOKUP($B23,'FTE Reporting ACT'!$C:$P,I$1,FALSE)</f>
        <v>175</v>
      </c>
      <c r="J23" s="6">
        <f>+VLOOKUP($B23,'FTE Reporting ACT'!$C:$P,J$1,FALSE)</f>
        <v>175</v>
      </c>
      <c r="K23" s="6">
        <f>+VLOOKUP($B23,'FTE Reporting ACT'!$C:$P,K$1,FALSE)</f>
        <v>175</v>
      </c>
      <c r="L23" s="6">
        <f>+VLOOKUP($B23,'FTE Reporting ACT'!$C:$P,L$1,FALSE)</f>
        <v>0</v>
      </c>
      <c r="M23" s="6">
        <f>+VLOOKUP($B23,'FTE Reporting ACT'!$C:$P,M$1,FALSE)</f>
        <v>0</v>
      </c>
      <c r="N23" s="6">
        <f>+VLOOKUP($B23,'FTE Reporting ACT'!$C:$P,N$1,FALSE)</f>
        <v>0</v>
      </c>
      <c r="O23" s="6">
        <f>+VLOOKUP($B23,'FTE Reporting ACT'!$C:$P,O$1,FALSE)</f>
        <v>0</v>
      </c>
      <c r="P23" s="6">
        <f>+VLOOKUP($B23,'FTE Reporting ACT'!$C:$P,P$1,FALSE)</f>
        <v>0</v>
      </c>
      <c r="Q23" s="7">
        <f>ROUNDUP(Tabelle353[[#This Row],[Dec-22]],0)</f>
        <v>0</v>
      </c>
    </row>
    <row r="24" spans="1:17" s="2" customFormat="1" ht="13.5" customHeight="1">
      <c r="A24" s="2" t="s">
        <v>21</v>
      </c>
      <c r="B24" s="2" t="s">
        <v>39</v>
      </c>
      <c r="C24" s="7" t="str">
        <f>+VLOOKUP(Tabelle353[[#This Row],[Company]],'Drop Downs'!A:B,2,FALSE)</f>
        <v>Asia</v>
      </c>
      <c r="D24" s="2" t="s">
        <v>89</v>
      </c>
      <c r="E24" s="6">
        <f>VLOOKUP($B24,'FTE Reporting PLAN'!$B:$P,'FTE Reporting PLAN ACT'!E$1,FALSE)</f>
        <v>30</v>
      </c>
      <c r="F24" s="6">
        <f>VLOOKUP($B24,'FTE Reporting PLAN'!$B:$P,'FTE Reporting PLAN ACT'!F$1,FALSE)</f>
        <v>30.3</v>
      </c>
      <c r="G24" s="6">
        <f>VLOOKUP($B24,'FTE Reporting PLAN'!$B:$P,'FTE Reporting PLAN ACT'!G$1,FALSE)</f>
        <v>30.603000000000002</v>
      </c>
      <c r="H24" s="6">
        <f>VLOOKUP($B24,'FTE Reporting PLAN'!$B:$P,'FTE Reporting PLAN ACT'!H$1,FALSE)</f>
        <v>30.909030000000001</v>
      </c>
      <c r="I24" s="6">
        <f>VLOOKUP($B24,'FTE Reporting PLAN'!$B:$P,'FTE Reporting PLAN ACT'!I$1,FALSE)</f>
        <v>31.218120300000002</v>
      </c>
      <c r="J24" s="6">
        <f>VLOOKUP($B24,'FTE Reporting PLAN'!$B:$P,'FTE Reporting PLAN ACT'!J$1,FALSE)</f>
        <v>31.530301503000004</v>
      </c>
      <c r="K24" s="6">
        <f>VLOOKUP($B24,'FTE Reporting PLAN'!$B:$P,'FTE Reporting PLAN ACT'!K$1,FALSE)</f>
        <v>31.845604518030004</v>
      </c>
      <c r="L24" s="6">
        <f>VLOOKUP($B24,'FTE Reporting PLAN'!$B:$P,'FTE Reporting PLAN ACT'!L$1,FALSE)</f>
        <v>32.164060563210306</v>
      </c>
      <c r="M24" s="6">
        <f>VLOOKUP($B24,'FTE Reporting PLAN'!$B:$P,'FTE Reporting PLAN ACT'!M$1,FALSE)</f>
        <v>32.485701168842411</v>
      </c>
      <c r="N24" s="6">
        <f>VLOOKUP($B24,'FTE Reporting PLAN'!$B:$P,'FTE Reporting PLAN ACT'!N$1,FALSE)</f>
        <v>32.810558180530833</v>
      </c>
      <c r="O24" s="6">
        <f>VLOOKUP($B24,'FTE Reporting PLAN'!$B:$P,'FTE Reporting PLAN ACT'!O$1,FALSE)</f>
        <v>33.138663762336144</v>
      </c>
      <c r="P24" s="6">
        <f>VLOOKUP($B24,'FTE Reporting PLAN'!$B:$P,'FTE Reporting PLAN ACT'!P$1,FALSE)</f>
        <v>33.470050399959504</v>
      </c>
      <c r="Q24" s="6">
        <f>Tabelle353[[#This Row],[Dec-22]]</f>
        <v>33.470050399959504</v>
      </c>
    </row>
    <row r="25" spans="1:17" s="2" customFormat="1" ht="13.5" customHeight="1">
      <c r="A25" s="2" t="s">
        <v>21</v>
      </c>
      <c r="B25" s="2" t="s">
        <v>39</v>
      </c>
      <c r="C25" s="7" t="str">
        <f>+VLOOKUP(Tabelle353[[#This Row],[Company]],'Drop Downs'!A:B,2,FALSE)</f>
        <v>Asia</v>
      </c>
      <c r="D25" s="7" t="s">
        <v>90</v>
      </c>
      <c r="E25" s="6">
        <f>+VLOOKUP($B25,'FTE Reporting ACT'!$C:$P,E$1,FALSE)</f>
        <v>30</v>
      </c>
      <c r="F25" s="6">
        <f>+VLOOKUP($B25,'FTE Reporting ACT'!$C:$P,F$1,FALSE)</f>
        <v>30</v>
      </c>
      <c r="G25" s="6">
        <f>+VLOOKUP($B25,'FTE Reporting ACT'!$C:$P,G$1,FALSE)</f>
        <v>32</v>
      </c>
      <c r="H25" s="6">
        <f>+VLOOKUP($B25,'FTE Reporting ACT'!$C:$P,H$1,FALSE)</f>
        <v>32</v>
      </c>
      <c r="I25" s="6">
        <f>+VLOOKUP($B25,'FTE Reporting ACT'!$C:$P,I$1,FALSE)</f>
        <v>33</v>
      </c>
      <c r="J25" s="6">
        <f>+VLOOKUP($B25,'FTE Reporting ACT'!$C:$P,J$1,FALSE)</f>
        <v>33</v>
      </c>
      <c r="K25" s="6">
        <f>+VLOOKUP($B25,'FTE Reporting ACT'!$C:$P,K$1,FALSE)</f>
        <v>33</v>
      </c>
      <c r="L25" s="6">
        <f>+VLOOKUP($B25,'FTE Reporting ACT'!$C:$P,L$1,FALSE)</f>
        <v>0</v>
      </c>
      <c r="M25" s="6">
        <f>+VLOOKUP($B25,'FTE Reporting ACT'!$C:$P,M$1,FALSE)</f>
        <v>0</v>
      </c>
      <c r="N25" s="6">
        <f>+VLOOKUP($B25,'FTE Reporting ACT'!$C:$P,N$1,FALSE)</f>
        <v>0</v>
      </c>
      <c r="O25" s="6">
        <f>+VLOOKUP($B25,'FTE Reporting ACT'!$C:$P,O$1,FALSE)</f>
        <v>0</v>
      </c>
      <c r="P25" s="6">
        <f>+VLOOKUP($B25,'FTE Reporting ACT'!$C:$P,P$1,FALSE)</f>
        <v>0</v>
      </c>
      <c r="Q25" s="7">
        <f>ROUNDUP(Tabelle353[[#This Row],[Dec-22]],0)</f>
        <v>0</v>
      </c>
    </row>
    <row r="26" spans="1:17" s="2" customFormat="1" ht="13.5" customHeight="1">
      <c r="A26" s="2" t="s">
        <v>21</v>
      </c>
      <c r="B26" s="2" t="s">
        <v>40</v>
      </c>
      <c r="C26" s="7" t="str">
        <f>+VLOOKUP(Tabelle353[[#This Row],[Company]],'Drop Downs'!A:B,2,FALSE)</f>
        <v>Asia</v>
      </c>
      <c r="D26" s="2" t="s">
        <v>89</v>
      </c>
      <c r="E26" s="6">
        <f>VLOOKUP($B26,'FTE Reporting PLAN'!$B:$P,'FTE Reporting PLAN ACT'!E$1,FALSE)</f>
        <v>50</v>
      </c>
      <c r="F26" s="6">
        <f>VLOOKUP($B26,'FTE Reporting PLAN'!$B:$P,'FTE Reporting PLAN ACT'!F$1,FALSE)</f>
        <v>49.5</v>
      </c>
      <c r="G26" s="6">
        <f>VLOOKUP($B26,'FTE Reporting PLAN'!$B:$P,'FTE Reporting PLAN ACT'!G$1,FALSE)</f>
        <v>55</v>
      </c>
      <c r="H26" s="6">
        <f>VLOOKUP($B26,'FTE Reporting PLAN'!$B:$P,'FTE Reporting PLAN ACT'!H$1,FALSE)</f>
        <v>55</v>
      </c>
      <c r="I26" s="6">
        <f>VLOOKUP($B26,'FTE Reporting PLAN'!$B:$P,'FTE Reporting PLAN ACT'!I$1,FALSE)</f>
        <v>55</v>
      </c>
      <c r="J26" s="6">
        <f>VLOOKUP($B26,'FTE Reporting PLAN'!$B:$P,'FTE Reporting PLAN ACT'!J$1,FALSE)</f>
        <v>56</v>
      </c>
      <c r="K26" s="6">
        <f>VLOOKUP($B26,'FTE Reporting PLAN'!$B:$P,'FTE Reporting PLAN ACT'!K$1,FALSE)</f>
        <v>57</v>
      </c>
      <c r="L26" s="6">
        <f>VLOOKUP($B26,'FTE Reporting PLAN'!$B:$P,'FTE Reporting PLAN ACT'!L$1,FALSE)</f>
        <v>58</v>
      </c>
      <c r="M26" s="6">
        <f>VLOOKUP($B26,'FTE Reporting PLAN'!$B:$P,'FTE Reporting PLAN ACT'!M$1,FALSE)</f>
        <v>59</v>
      </c>
      <c r="N26" s="6">
        <f>VLOOKUP($B26,'FTE Reporting PLAN'!$B:$P,'FTE Reporting PLAN ACT'!N$1,FALSE)</f>
        <v>59</v>
      </c>
      <c r="O26" s="6">
        <f>VLOOKUP($B26,'FTE Reporting PLAN'!$B:$P,'FTE Reporting PLAN ACT'!O$1,FALSE)</f>
        <v>59</v>
      </c>
      <c r="P26" s="6">
        <f>VLOOKUP($B26,'FTE Reporting PLAN'!$B:$P,'FTE Reporting PLAN ACT'!P$1,FALSE)</f>
        <v>59</v>
      </c>
      <c r="Q26" s="6">
        <f>Tabelle353[[#This Row],[Dec-22]]</f>
        <v>59</v>
      </c>
    </row>
    <row r="27" spans="1:17" s="2" customFormat="1" ht="13.5" customHeight="1">
      <c r="A27" s="2" t="s">
        <v>21</v>
      </c>
      <c r="B27" s="2" t="s">
        <v>40</v>
      </c>
      <c r="C27" s="7" t="str">
        <f>+VLOOKUP(Tabelle353[[#This Row],[Company]],'Drop Downs'!A:B,2,FALSE)</f>
        <v>Asia</v>
      </c>
      <c r="D27" s="7" t="s">
        <v>90</v>
      </c>
      <c r="E27" s="6">
        <f>+VLOOKUP($B27,'FTE Reporting ACT'!$C:$P,E$1,FALSE)</f>
        <v>50</v>
      </c>
      <c r="F27" s="6">
        <f>+VLOOKUP($B27,'FTE Reporting ACT'!$C:$P,F$1,FALSE)</f>
        <v>55</v>
      </c>
      <c r="G27" s="6">
        <f>+VLOOKUP($B27,'FTE Reporting ACT'!$C:$P,G$1,FALSE)</f>
        <v>55</v>
      </c>
      <c r="H27" s="6">
        <f>+VLOOKUP($B27,'FTE Reporting ACT'!$C:$P,H$1,FALSE)</f>
        <v>55</v>
      </c>
      <c r="I27" s="6">
        <f>+VLOOKUP($B27,'FTE Reporting ACT'!$C:$P,I$1,FALSE)</f>
        <v>55</v>
      </c>
      <c r="J27" s="6">
        <f>+VLOOKUP($B27,'FTE Reporting ACT'!$C:$P,J$1,FALSE)</f>
        <v>55</v>
      </c>
      <c r="K27" s="6">
        <f>+VLOOKUP($B27,'FTE Reporting ACT'!$C:$P,K$1,FALSE)</f>
        <v>55</v>
      </c>
      <c r="L27" s="6">
        <f>+VLOOKUP($B27,'FTE Reporting ACT'!$C:$P,L$1,FALSE)</f>
        <v>0</v>
      </c>
      <c r="M27" s="6">
        <f>+VLOOKUP($B27,'FTE Reporting ACT'!$C:$P,M$1,FALSE)</f>
        <v>0</v>
      </c>
      <c r="N27" s="6">
        <f>+VLOOKUP($B27,'FTE Reporting ACT'!$C:$P,N$1,FALSE)</f>
        <v>0</v>
      </c>
      <c r="O27" s="6">
        <f>+VLOOKUP($B27,'FTE Reporting ACT'!$C:$P,O$1,FALSE)</f>
        <v>0</v>
      </c>
      <c r="P27" s="6">
        <f>+VLOOKUP($B27,'FTE Reporting ACT'!$C:$P,P$1,FALSE)</f>
        <v>0</v>
      </c>
      <c r="Q27" s="7">
        <f>ROUNDUP(Tabelle353[[#This Row],[Dec-22]],0)</f>
        <v>0</v>
      </c>
    </row>
    <row r="28" spans="1:17" s="2" customFormat="1" ht="13.5" customHeight="1">
      <c r="A28" s="2" t="s">
        <v>22</v>
      </c>
      <c r="B28" s="2" t="s">
        <v>41</v>
      </c>
      <c r="C28" s="2" t="str">
        <f>+VLOOKUP(Tabelle353[[#This Row],[Company]],'Drop Downs'!A:B,2,FALSE)</f>
        <v>Asia</v>
      </c>
      <c r="D28" s="2" t="s">
        <v>89</v>
      </c>
      <c r="E28" s="6">
        <f>VLOOKUP($B28,'FTE Reporting PLAN'!$B:$P,'FTE Reporting PLAN ACT'!E$1,FALSE)</f>
        <v>250</v>
      </c>
      <c r="F28" s="6">
        <f>VLOOKUP($B28,'FTE Reporting PLAN'!$B:$P,'FTE Reporting PLAN ACT'!F$1,FALSE)</f>
        <v>252.5</v>
      </c>
      <c r="G28" s="6">
        <f>VLOOKUP($B28,'FTE Reporting PLAN'!$B:$P,'FTE Reporting PLAN ACT'!G$1,FALSE)</f>
        <v>255.02500000000001</v>
      </c>
      <c r="H28" s="6">
        <f>VLOOKUP($B28,'FTE Reporting PLAN'!$B:$P,'FTE Reporting PLAN ACT'!H$1,FALSE)</f>
        <v>257.57524999999998</v>
      </c>
      <c r="I28" s="6">
        <f>VLOOKUP($B28,'FTE Reporting PLAN'!$B:$P,'FTE Reporting PLAN ACT'!I$1,FALSE)</f>
        <v>260.1510025</v>
      </c>
      <c r="J28" s="6">
        <f>VLOOKUP($B28,'FTE Reporting PLAN'!$B:$P,'FTE Reporting PLAN ACT'!J$1,FALSE)</f>
        <v>262.75251252499999</v>
      </c>
      <c r="K28" s="6">
        <f>VLOOKUP($B28,'FTE Reporting PLAN'!$B:$P,'FTE Reporting PLAN ACT'!K$1,FALSE)</f>
        <v>265.38003765024996</v>
      </c>
      <c r="L28" s="6">
        <f>VLOOKUP($B28,'FTE Reporting PLAN'!$B:$P,'FTE Reporting PLAN ACT'!L$1,FALSE)</f>
        <v>268.03383802675245</v>
      </c>
      <c r="M28" s="6">
        <f>VLOOKUP($B28,'FTE Reporting PLAN'!$B:$P,'FTE Reporting PLAN ACT'!M$1,FALSE)</f>
        <v>270.71417640701998</v>
      </c>
      <c r="N28" s="6">
        <f>VLOOKUP($B28,'FTE Reporting PLAN'!$B:$P,'FTE Reporting PLAN ACT'!N$1,FALSE)</f>
        <v>273.42131817109021</v>
      </c>
      <c r="O28" s="6">
        <f>VLOOKUP($B28,'FTE Reporting PLAN'!$B:$P,'FTE Reporting PLAN ACT'!O$1,FALSE)</f>
        <v>276.15553135280112</v>
      </c>
      <c r="P28" s="6">
        <f>VLOOKUP($B28,'FTE Reporting PLAN'!$B:$P,'FTE Reporting PLAN ACT'!P$1,FALSE)</f>
        <v>278.91708666632911</v>
      </c>
      <c r="Q28" s="6">
        <f>Tabelle353[[#This Row],[Dec-22]]</f>
        <v>278.91708666632911</v>
      </c>
    </row>
    <row r="29" spans="1:17" s="2" customFormat="1" ht="13.5" customHeight="1">
      <c r="A29" s="2" t="s">
        <v>22</v>
      </c>
      <c r="B29" s="2" t="s">
        <v>41</v>
      </c>
      <c r="C29" s="7" t="str">
        <f>+VLOOKUP(Tabelle353[[#This Row],[Company]],'Drop Downs'!A:B,2,FALSE)</f>
        <v>Asia</v>
      </c>
      <c r="D29" s="7" t="s">
        <v>90</v>
      </c>
      <c r="E29" s="6">
        <f>+VLOOKUP($B29,'FTE Reporting ACT'!$C:$P,E$1,FALSE)</f>
        <v>250</v>
      </c>
      <c r="F29" s="6">
        <f>+VLOOKUP($B29,'FTE Reporting ACT'!$C:$P,F$1,FALSE)</f>
        <v>251</v>
      </c>
      <c r="G29" s="6">
        <f>+VLOOKUP($B29,'FTE Reporting ACT'!$C:$P,G$1,FALSE)</f>
        <v>253</v>
      </c>
      <c r="H29" s="6">
        <f>+VLOOKUP($B29,'FTE Reporting ACT'!$C:$P,H$1,FALSE)</f>
        <v>255</v>
      </c>
      <c r="I29" s="6">
        <f>+VLOOKUP($B29,'FTE Reporting ACT'!$C:$P,I$1,FALSE)</f>
        <v>260</v>
      </c>
      <c r="J29" s="6">
        <f>+VLOOKUP($B29,'FTE Reporting ACT'!$C:$P,J$1,FALSE)</f>
        <v>260</v>
      </c>
      <c r="K29" s="6">
        <f>+VLOOKUP($B29,'FTE Reporting ACT'!$C:$P,K$1,FALSE)</f>
        <v>260</v>
      </c>
      <c r="L29" s="6">
        <f>+VLOOKUP($B29,'FTE Reporting ACT'!$C:$P,L$1,FALSE)</f>
        <v>0</v>
      </c>
      <c r="M29" s="6">
        <f>+VLOOKUP($B29,'FTE Reporting ACT'!$C:$P,M$1,FALSE)</f>
        <v>0</v>
      </c>
      <c r="N29" s="6">
        <f>+VLOOKUP($B29,'FTE Reporting ACT'!$C:$P,N$1,FALSE)</f>
        <v>0</v>
      </c>
      <c r="O29" s="6">
        <f>+VLOOKUP($B29,'FTE Reporting ACT'!$C:$P,O$1,FALSE)</f>
        <v>0</v>
      </c>
      <c r="P29" s="6">
        <f>+VLOOKUP($B29,'FTE Reporting ACT'!$C:$P,P$1,FALSE)</f>
        <v>0</v>
      </c>
      <c r="Q29" s="7">
        <f>ROUNDUP(Tabelle353[[#This Row],[Dec-22]],0)</f>
        <v>0</v>
      </c>
    </row>
  </sheetData>
  <pageMargins left="0.7" right="0.7" top="0.78740157499999996" bottom="0.78740157499999996" header="0.3" footer="0.3"/>
  <pageSetup paperSize="9" orientation="portrait" horizontalDpi="4294967293" verticalDpi="0" r:id="rId1"/>
  <tableParts count="1">
    <tablePart r:id="rId2"/>
  </tablePart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364745A-5E14-48A5-B9C3-9FA9E3338116}">
          <x14:formula1>
            <xm:f>'Drop Downs'!$A$2:$A$9</xm:f>
          </x14:formula1>
          <xm:sqref>A4:A9</xm:sqref>
        </x14:dataValidation>
        <x14:dataValidation type="list" allowBlank="1" showInputMessage="1" showErrorMessage="1" xr:uid="{B73C3EA8-4FA5-4200-B3EF-99AC2775AEE1}">
          <x14:formula1>
            <xm:f>'Drop Downs'!$A$2:$A$8</xm:f>
          </x14:formula1>
          <xm:sqref>A10:A29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2DB30-E6F1-4375-ABE6-84AB63A7EE01}">
  <sheetPr>
    <tabColor rgb="FF002060"/>
  </sheetPr>
  <dimension ref="A1:P16"/>
  <sheetViews>
    <sheetView showGridLines="0" workbookViewId="0">
      <selection activeCell="D3" sqref="D3"/>
    </sheetView>
  </sheetViews>
  <sheetFormatPr baseColWidth="10" defaultRowHeight="14"/>
  <cols>
    <col min="1" max="2" width="16.453125" style="1" customWidth="1"/>
    <col min="3" max="3" width="12.08984375" style="1" customWidth="1"/>
    <col min="4" max="7" width="8.6328125" style="1" customWidth="1"/>
    <col min="8" max="8" width="8.90625" style="1" customWidth="1"/>
    <col min="9" max="15" width="8.6328125" style="1" customWidth="1"/>
    <col min="16" max="16384" width="10.90625" style="1"/>
  </cols>
  <sheetData>
    <row r="1" spans="1:16">
      <c r="A1" s="5" t="s">
        <v>117</v>
      </c>
      <c r="B1" s="5"/>
      <c r="C1" s="5"/>
      <c r="D1" s="5"/>
      <c r="E1" s="5"/>
      <c r="F1" s="5"/>
      <c r="G1" s="5"/>
      <c r="H1" s="5"/>
      <c r="I1" s="5"/>
      <c r="J1" s="5"/>
      <c r="K1" s="5"/>
      <c r="L1" s="5"/>
      <c r="M1" s="5"/>
      <c r="N1" s="5"/>
      <c r="O1" s="5"/>
      <c r="P1" s="15" t="s">
        <v>45</v>
      </c>
    </row>
    <row r="2" spans="1:16" s="3" customFormat="1" ht="13.5" customHeight="1">
      <c r="A2" s="3" t="s">
        <v>1</v>
      </c>
      <c r="B2" s="3" t="s">
        <v>28</v>
      </c>
      <c r="C2" s="3" t="s">
        <v>2</v>
      </c>
      <c r="D2" s="4" t="s">
        <v>3</v>
      </c>
      <c r="E2" s="4" t="s">
        <v>4</v>
      </c>
      <c r="F2" s="4" t="s">
        <v>5</v>
      </c>
      <c r="G2" s="4" t="s">
        <v>6</v>
      </c>
      <c r="H2" s="4" t="s">
        <v>7</v>
      </c>
      <c r="I2" s="4" t="s">
        <v>8</v>
      </c>
      <c r="J2" s="4" t="s">
        <v>9</v>
      </c>
      <c r="K2" s="4" t="s">
        <v>10</v>
      </c>
      <c r="L2" s="4" t="s">
        <v>11</v>
      </c>
      <c r="M2" s="4" t="s">
        <v>12</v>
      </c>
      <c r="N2" s="4" t="s">
        <v>13</v>
      </c>
      <c r="O2" s="4" t="s">
        <v>14</v>
      </c>
      <c r="P2" s="16" t="s">
        <v>26</v>
      </c>
    </row>
    <row r="3" spans="1:16" s="2" customFormat="1" ht="13.5" customHeight="1">
      <c r="A3" s="2" t="s">
        <v>16</v>
      </c>
      <c r="B3" s="2" t="s">
        <v>29</v>
      </c>
      <c r="C3" s="2" t="str">
        <f>+VLOOKUP(Tabelle354[[#This Row],[Company]],'Drop Downs'!A:B,2,FALSE)</f>
        <v>Europe</v>
      </c>
      <c r="D3" s="6">
        <v>150</v>
      </c>
      <c r="E3" s="6">
        <f>+Tabelle354[[#This Row],[Jan-22]]*1.005</f>
        <v>150.74999999999997</v>
      </c>
      <c r="F3" s="6">
        <f>+Tabelle354[[#This Row],[Feb-22]]*1.005</f>
        <v>151.50374999999997</v>
      </c>
      <c r="G3" s="6">
        <f>+Tabelle354[[#This Row],[Mar-22]]*1.005</f>
        <v>152.26126874999994</v>
      </c>
      <c r="H3" s="6">
        <f>+Tabelle354[[#This Row],[Apr-22]]*1.005</f>
        <v>153.02257509374994</v>
      </c>
      <c r="I3" s="6">
        <f>+Tabelle354[[#This Row],[May-22]]*1.005</f>
        <v>153.78768796921867</v>
      </c>
      <c r="J3" s="6">
        <f>+Tabelle354[[#This Row],[Jun-22]]*1.005</f>
        <v>154.55662640906473</v>
      </c>
      <c r="K3" s="6">
        <f>+Tabelle354[[#This Row],[Jul-22]]*1.005</f>
        <v>155.32940954111004</v>
      </c>
      <c r="L3" s="6">
        <f>+Tabelle354[[#This Row],[Aug-22]]*1.005</f>
        <v>156.10605658881556</v>
      </c>
      <c r="M3" s="6">
        <f>+Tabelle354[[#This Row],[Sep-22]]*1.005</f>
        <v>156.88658687175962</v>
      </c>
      <c r="N3" s="6">
        <f>+Tabelle354[[#This Row],[Oct-22]]*1.005</f>
        <v>157.67101980611841</v>
      </c>
      <c r="O3" s="6">
        <f>+Tabelle354[[#This Row],[Nov-22]]*1.005</f>
        <v>158.45937490514899</v>
      </c>
      <c r="P3" s="6">
        <f>Tabelle354[[#This Row],[Dec-22]]</f>
        <v>158.45937490514899</v>
      </c>
    </row>
    <row r="4" spans="1:16" s="2" customFormat="1" ht="13.5" customHeight="1">
      <c r="A4" s="2" t="s">
        <v>16</v>
      </c>
      <c r="B4" s="2" t="s">
        <v>31</v>
      </c>
      <c r="C4" s="7" t="str">
        <f>+VLOOKUP(Tabelle354[[#This Row],[Company]],'Drop Downs'!A:B,2,FALSE)</f>
        <v>Europe</v>
      </c>
      <c r="D4" s="6">
        <v>200</v>
      </c>
      <c r="E4" s="6">
        <f>+Tabelle354[[#This Row],[Jan-22]]*1.005</f>
        <v>200.99999999999997</v>
      </c>
      <c r="F4" s="6">
        <f>+Tabelle354[[#This Row],[Feb-22]]*1.005</f>
        <v>202.00499999999994</v>
      </c>
      <c r="G4" s="6">
        <f>+Tabelle354[[#This Row],[Mar-22]]*1.005</f>
        <v>203.01502499999992</v>
      </c>
      <c r="H4" s="6">
        <f>+Tabelle354[[#This Row],[Apr-22]]*1.005</f>
        <v>204.0301001249999</v>
      </c>
      <c r="I4" s="6">
        <f>+Tabelle354[[#This Row],[May-22]]*1.005</f>
        <v>205.05025062562487</v>
      </c>
      <c r="J4" s="6">
        <f>+Tabelle354[[#This Row],[Jun-22]]*1.005</f>
        <v>206.07550187875296</v>
      </c>
      <c r="K4" s="6">
        <f>+Tabelle354[[#This Row],[Jul-22]]*1.005</f>
        <v>207.10587938814669</v>
      </c>
      <c r="L4" s="6">
        <f>+Tabelle354[[#This Row],[Aug-22]]*1.005</f>
        <v>208.14140878508741</v>
      </c>
      <c r="M4" s="6">
        <f>+Tabelle354[[#This Row],[Sep-22]]*1.005</f>
        <v>209.18211582901282</v>
      </c>
      <c r="N4" s="6">
        <f>+Tabelle354[[#This Row],[Oct-22]]*1.005</f>
        <v>210.22802640815786</v>
      </c>
      <c r="O4" s="6">
        <f>+Tabelle354[[#This Row],[Nov-22]]*1.005</f>
        <v>211.27916654019862</v>
      </c>
      <c r="P4" s="6">
        <f>Tabelle354[[#This Row],[Dec-22]]</f>
        <v>211.27916654019862</v>
      </c>
    </row>
    <row r="5" spans="1:16" s="2" customFormat="1" ht="13.5" customHeight="1">
      <c r="A5" s="2" t="s">
        <v>16</v>
      </c>
      <c r="B5" s="2" t="s">
        <v>32</v>
      </c>
      <c r="C5" s="7" t="str">
        <f>+VLOOKUP(Tabelle354[[#This Row],[Company]],'Drop Downs'!A:B,2,FALSE)</f>
        <v>Europe</v>
      </c>
      <c r="D5" s="6">
        <v>250</v>
      </c>
      <c r="E5" s="6">
        <f>+Tabelle354[[#This Row],[Jan-22]]*1.005</f>
        <v>251.24999999999997</v>
      </c>
      <c r="F5" s="6">
        <f>+Tabelle354[[#This Row],[Feb-22]]*1.005</f>
        <v>252.50624999999994</v>
      </c>
      <c r="G5" s="6">
        <f>+Tabelle354[[#This Row],[Mar-22]]*1.005</f>
        <v>253.7687812499999</v>
      </c>
      <c r="H5" s="6">
        <f>+Tabelle354[[#This Row],[Apr-22]]*1.005</f>
        <v>255.03762515624987</v>
      </c>
      <c r="I5" s="6">
        <f>+Tabelle354[[#This Row],[May-22]]*1.005</f>
        <v>256.31281328203107</v>
      </c>
      <c r="J5" s="6">
        <f>+Tabelle354[[#This Row],[Jun-22]]*1.005</f>
        <v>257.59437734844118</v>
      </c>
      <c r="K5" s="6">
        <f>+Tabelle354[[#This Row],[Jul-22]]*1.005</f>
        <v>258.88234923518337</v>
      </c>
      <c r="L5" s="6">
        <f>+Tabelle354[[#This Row],[Aug-22]]*1.005</f>
        <v>260.17676098135928</v>
      </c>
      <c r="M5" s="6">
        <f>+Tabelle354[[#This Row],[Sep-22]]*1.005</f>
        <v>261.47764478626607</v>
      </c>
      <c r="N5" s="6">
        <f>+Tabelle354[[#This Row],[Oct-22]]*1.005</f>
        <v>262.78503301019737</v>
      </c>
      <c r="O5" s="6">
        <f>+Tabelle354[[#This Row],[Nov-22]]*1.005</f>
        <v>264.0989581752483</v>
      </c>
      <c r="P5" s="6">
        <f>Tabelle354[[#This Row],[Dec-22]]</f>
        <v>264.0989581752483</v>
      </c>
    </row>
    <row r="6" spans="1:16" s="2" customFormat="1" ht="13.5" customHeight="1">
      <c r="A6" s="2" t="s">
        <v>17</v>
      </c>
      <c r="B6" s="2" t="s">
        <v>33</v>
      </c>
      <c r="C6" s="2" t="str">
        <f>+VLOOKUP(Tabelle354[[#This Row],[Company]],'Drop Downs'!A:B,2,FALSE)</f>
        <v>Europe</v>
      </c>
      <c r="D6" s="2">
        <v>300</v>
      </c>
      <c r="E6" s="6">
        <f>+Tabelle354[[#This Row],[Jan-22]]*1.005</f>
        <v>301.49999999999994</v>
      </c>
      <c r="F6" s="6">
        <f>+Tabelle354[[#This Row],[Feb-22]]*1.005</f>
        <v>303.00749999999994</v>
      </c>
      <c r="G6" s="6">
        <f>+Tabelle354[[#This Row],[Mar-22]]*1.005</f>
        <v>304.52253749999988</v>
      </c>
      <c r="H6" s="6">
        <f>+Tabelle354[[#This Row],[Apr-22]]*1.005</f>
        <v>306.04515018749987</v>
      </c>
      <c r="I6" s="6">
        <f>+Tabelle354[[#This Row],[May-22]]*1.005</f>
        <v>307.57537593843733</v>
      </c>
      <c r="J6" s="6">
        <f>+Tabelle354[[#This Row],[Jun-22]]*1.005</f>
        <v>309.11325281812947</v>
      </c>
      <c r="K6" s="6">
        <f>+Tabelle354[[#This Row],[Jul-22]]*1.005</f>
        <v>310.65881908222008</v>
      </c>
      <c r="L6" s="6">
        <f>+Tabelle354[[#This Row],[Aug-22]]*1.005</f>
        <v>312.21211317763112</v>
      </c>
      <c r="M6" s="6">
        <f>+Tabelle354[[#This Row],[Sep-22]]*1.005</f>
        <v>313.77317374351924</v>
      </c>
      <c r="N6" s="6">
        <f>+Tabelle354[[#This Row],[Oct-22]]*1.005</f>
        <v>315.34203961223682</v>
      </c>
      <c r="O6" s="6">
        <f>+Tabelle354[[#This Row],[Nov-22]]*1.005</f>
        <v>316.91874981029798</v>
      </c>
      <c r="P6" s="6">
        <f>Tabelle354[[#This Row],[Dec-22]]</f>
        <v>316.91874981029798</v>
      </c>
    </row>
    <row r="7" spans="1:16" s="2" customFormat="1" ht="13.5" customHeight="1">
      <c r="A7" s="2" t="s">
        <v>18</v>
      </c>
      <c r="B7" s="2" t="s">
        <v>34</v>
      </c>
      <c r="C7" s="2" t="str">
        <f>+VLOOKUP(Tabelle354[[#This Row],[Company]],'Drop Downs'!A:B,2,FALSE)</f>
        <v>Europe</v>
      </c>
      <c r="D7" s="2">
        <v>300</v>
      </c>
      <c r="E7" s="6">
        <f>+Tabelle354[[#This Row],[Jan-22]]*1.005</f>
        <v>301.49999999999994</v>
      </c>
      <c r="F7" s="6">
        <f>+Tabelle354[[#This Row],[Feb-22]]*1.005</f>
        <v>303.00749999999994</v>
      </c>
      <c r="G7" s="6">
        <f>+Tabelle354[[#This Row],[Mar-22]]*1.005</f>
        <v>304.52253749999988</v>
      </c>
      <c r="H7" s="6">
        <f>+Tabelle354[[#This Row],[Apr-22]]*1.005</f>
        <v>306.04515018749987</v>
      </c>
      <c r="I7" s="6">
        <f>+Tabelle354[[#This Row],[May-22]]*1.005</f>
        <v>307.57537593843733</v>
      </c>
      <c r="J7" s="6">
        <f>+Tabelle354[[#This Row],[Jun-22]]*1.005</f>
        <v>309.11325281812947</v>
      </c>
      <c r="K7" s="6">
        <f>+Tabelle354[[#This Row],[Jul-22]]*1.005</f>
        <v>310.65881908222008</v>
      </c>
      <c r="L7" s="6">
        <f>+Tabelle354[[#This Row],[Aug-22]]*1.005</f>
        <v>312.21211317763112</v>
      </c>
      <c r="M7" s="6">
        <f>+Tabelle354[[#This Row],[Sep-22]]*1.005</f>
        <v>313.77317374351924</v>
      </c>
      <c r="N7" s="6">
        <f>+Tabelle354[[#This Row],[Oct-22]]*1.005</f>
        <v>315.34203961223682</v>
      </c>
      <c r="O7" s="6">
        <f>+Tabelle354[[#This Row],[Nov-22]]*1.005</f>
        <v>316.91874981029798</v>
      </c>
      <c r="P7" s="6">
        <f>Tabelle354[[#This Row],[Dec-22]]</f>
        <v>316.91874981029798</v>
      </c>
    </row>
    <row r="8" spans="1:16" s="2" customFormat="1" ht="13.5" customHeight="1">
      <c r="A8" s="2" t="s">
        <v>18</v>
      </c>
      <c r="B8" s="2" t="s">
        <v>35</v>
      </c>
      <c r="C8" s="7" t="str">
        <f>+VLOOKUP(Tabelle354[[#This Row],[Company]],'Drop Downs'!A:B,2,FALSE)</f>
        <v>Europe</v>
      </c>
      <c r="D8" s="2">
        <v>20</v>
      </c>
      <c r="E8" s="6">
        <f>+Tabelle354[[#This Row],[Jan-22]]*1.005</f>
        <v>20.099999999999998</v>
      </c>
      <c r="F8" s="6">
        <f>+Tabelle354[[#This Row],[Feb-22]]*1.005</f>
        <v>20.200499999999995</v>
      </c>
      <c r="G8" s="6">
        <f>+Tabelle354[[#This Row],[Mar-22]]*1.005</f>
        <v>20.301502499999991</v>
      </c>
      <c r="H8" s="6">
        <f>+Tabelle354[[#This Row],[Apr-22]]*1.005</f>
        <v>20.40301001249999</v>
      </c>
      <c r="I8" s="6">
        <f>+Tabelle354[[#This Row],[May-22]]*1.005</f>
        <v>20.505025062562488</v>
      </c>
      <c r="J8" s="6">
        <f>+Tabelle354[[#This Row],[Jun-22]]*1.005</f>
        <v>20.607550187875297</v>
      </c>
      <c r="K8" s="6">
        <f>+Tabelle354[[#This Row],[Jul-22]]*1.005</f>
        <v>20.710587938814673</v>
      </c>
      <c r="L8" s="6">
        <f>+Tabelle354[[#This Row],[Aug-22]]*1.005</f>
        <v>20.814140878508745</v>
      </c>
      <c r="M8" s="6">
        <f>+Tabelle354[[#This Row],[Sep-22]]*1.005</f>
        <v>20.918211582901286</v>
      </c>
      <c r="N8" s="6">
        <f>+Tabelle354[[#This Row],[Oct-22]]*1.005</f>
        <v>21.02280264081579</v>
      </c>
      <c r="O8" s="6">
        <f>+Tabelle354[[#This Row],[Nov-22]]*1.005</f>
        <v>21.127916654019867</v>
      </c>
      <c r="P8" s="6">
        <f>Tabelle354[[#This Row],[Dec-22]]</f>
        <v>21.127916654019867</v>
      </c>
    </row>
    <row r="9" spans="1:16" s="2" customFormat="1" ht="13.5" customHeight="1">
      <c r="A9" s="2" t="s">
        <v>18</v>
      </c>
      <c r="B9" s="2" t="s">
        <v>36</v>
      </c>
      <c r="C9" s="7" t="str">
        <f>+VLOOKUP(Tabelle354[[#This Row],[Company]],'Drop Downs'!A:B,2,FALSE)</f>
        <v>Europe</v>
      </c>
      <c r="D9" s="2">
        <v>300</v>
      </c>
      <c r="E9" s="6">
        <f>+Tabelle354[[#This Row],[Jan-22]]*1.005</f>
        <v>301.49999999999994</v>
      </c>
      <c r="F9" s="6">
        <f>+Tabelle354[[#This Row],[Feb-22]]*1.005</f>
        <v>303.00749999999994</v>
      </c>
      <c r="G9" s="6">
        <f>+Tabelle354[[#This Row],[Mar-22]]*1.005</f>
        <v>304.52253749999988</v>
      </c>
      <c r="H9" s="6">
        <f>+Tabelle354[[#This Row],[Apr-22]]*1.005</f>
        <v>306.04515018749987</v>
      </c>
      <c r="I9" s="6">
        <f>+Tabelle354[[#This Row],[May-22]]*1.005</f>
        <v>307.57537593843733</v>
      </c>
      <c r="J9" s="6">
        <f>+Tabelle354[[#This Row],[Jun-22]]*1.005</f>
        <v>309.11325281812947</v>
      </c>
      <c r="K9" s="6">
        <f>+Tabelle354[[#This Row],[Jul-22]]*1.005</f>
        <v>310.65881908222008</v>
      </c>
      <c r="L9" s="6">
        <f>+Tabelle354[[#This Row],[Aug-22]]*1.005</f>
        <v>312.21211317763112</v>
      </c>
      <c r="M9" s="6">
        <f>+Tabelle354[[#This Row],[Sep-22]]*1.005</f>
        <v>313.77317374351924</v>
      </c>
      <c r="N9" s="6">
        <f>+Tabelle354[[#This Row],[Oct-22]]*1.005</f>
        <v>315.34203961223682</v>
      </c>
      <c r="O9" s="6">
        <f>+Tabelle354[[#This Row],[Nov-22]]*1.005</f>
        <v>316.91874981029798</v>
      </c>
      <c r="P9" s="6">
        <f>Tabelle354[[#This Row],[Dec-22]]</f>
        <v>316.91874981029798</v>
      </c>
    </row>
    <row r="10" spans="1:16" s="2" customFormat="1" ht="13.5" customHeight="1">
      <c r="A10" s="2" t="s">
        <v>19</v>
      </c>
      <c r="B10" s="2" t="s">
        <v>30</v>
      </c>
      <c r="C10" s="2" t="str">
        <f>+VLOOKUP(Tabelle354[[#This Row],[Company]],'Drop Downs'!A:B,2,FALSE)</f>
        <v>Americas</v>
      </c>
      <c r="D10" s="2">
        <v>250</v>
      </c>
      <c r="E10" s="6">
        <f>+Tabelle354[[#This Row],[Jan-22]]*1.005</f>
        <v>251.24999999999997</v>
      </c>
      <c r="F10" s="6">
        <f>+Tabelle354[[#This Row],[Feb-22]]*1.005</f>
        <v>252.50624999999994</v>
      </c>
      <c r="G10" s="6">
        <f>+Tabelle354[[#This Row],[Mar-22]]*1.005</f>
        <v>253.7687812499999</v>
      </c>
      <c r="H10" s="6">
        <f>+Tabelle354[[#This Row],[Apr-22]]*1.005</f>
        <v>255.03762515624987</v>
      </c>
      <c r="I10" s="6">
        <f>+Tabelle354[[#This Row],[May-22]]*1.005</f>
        <v>256.31281328203107</v>
      </c>
      <c r="J10" s="6">
        <f>+Tabelle354[[#This Row],[Jun-22]]*1.005</f>
        <v>257.59437734844118</v>
      </c>
      <c r="K10" s="6">
        <f>+Tabelle354[[#This Row],[Jul-22]]*1.005</f>
        <v>258.88234923518337</v>
      </c>
      <c r="L10" s="6">
        <f>+Tabelle354[[#This Row],[Aug-22]]*1.005</f>
        <v>260.17676098135928</v>
      </c>
      <c r="M10" s="6">
        <f>+Tabelle354[[#This Row],[Sep-22]]*1.005</f>
        <v>261.47764478626607</v>
      </c>
      <c r="N10" s="6">
        <f>+Tabelle354[[#This Row],[Oct-22]]*1.005</f>
        <v>262.78503301019737</v>
      </c>
      <c r="O10" s="6">
        <f>+Tabelle354[[#This Row],[Nov-22]]*1.005</f>
        <v>264.0989581752483</v>
      </c>
      <c r="P10" s="6">
        <f>Tabelle354[[#This Row],[Dec-22]]</f>
        <v>264.0989581752483</v>
      </c>
    </row>
    <row r="11" spans="1:16" s="2" customFormat="1" ht="13.5" customHeight="1">
      <c r="A11" s="2" t="s">
        <v>20</v>
      </c>
      <c r="B11" s="2" t="s">
        <v>37</v>
      </c>
      <c r="C11" s="2" t="str">
        <f>+VLOOKUP(Tabelle354[[#This Row],[Company]],'Drop Downs'!A:B,2,FALSE)</f>
        <v>Americas</v>
      </c>
      <c r="D11" s="2">
        <v>250</v>
      </c>
      <c r="E11" s="6">
        <f>+Tabelle354[[#This Row],[Jan-22]]*1.005</f>
        <v>251.24999999999997</v>
      </c>
      <c r="F11" s="6">
        <f>+Tabelle354[[#This Row],[Feb-22]]*1.005</f>
        <v>252.50624999999994</v>
      </c>
      <c r="G11" s="6">
        <f>+Tabelle354[[#This Row],[Mar-22]]*1.005</f>
        <v>253.7687812499999</v>
      </c>
      <c r="H11" s="6">
        <f>+Tabelle354[[#This Row],[Apr-22]]*1.005</f>
        <v>255.03762515624987</v>
      </c>
      <c r="I11" s="6">
        <f>+Tabelle354[[#This Row],[May-22]]*1.005</f>
        <v>256.31281328203107</v>
      </c>
      <c r="J11" s="6">
        <f>+Tabelle354[[#This Row],[Jun-22]]*1.005</f>
        <v>257.59437734844118</v>
      </c>
      <c r="K11" s="6">
        <f>+Tabelle354[[#This Row],[Jul-22]]*1.005</f>
        <v>258.88234923518337</v>
      </c>
      <c r="L11" s="6">
        <f>+Tabelle354[[#This Row],[Aug-22]]*1.005</f>
        <v>260.17676098135928</v>
      </c>
      <c r="M11" s="6">
        <f>+Tabelle354[[#This Row],[Sep-22]]*1.005</f>
        <v>261.47764478626607</v>
      </c>
      <c r="N11" s="6">
        <f>+Tabelle354[[#This Row],[Oct-22]]*1.005</f>
        <v>262.78503301019737</v>
      </c>
      <c r="O11" s="6">
        <f>+Tabelle354[[#This Row],[Nov-22]]*1.005</f>
        <v>264.0989581752483</v>
      </c>
      <c r="P11" s="6">
        <f>Tabelle354[[#This Row],[Dec-22]]</f>
        <v>264.0989581752483</v>
      </c>
    </row>
    <row r="12" spans="1:16" s="2" customFormat="1" ht="13.5" customHeight="1">
      <c r="A12" s="2" t="s">
        <v>21</v>
      </c>
      <c r="B12" s="2" t="s">
        <v>38</v>
      </c>
      <c r="C12" s="2" t="str">
        <f>+VLOOKUP(Tabelle354[[#This Row],[Company]],'Drop Downs'!A:B,2,FALSE)</f>
        <v>Asia</v>
      </c>
      <c r="D12" s="2">
        <v>100</v>
      </c>
      <c r="E12" s="6">
        <f>+Tabelle354[[#This Row],[Jan-22]]*1.005</f>
        <v>100.49999999999999</v>
      </c>
      <c r="F12" s="6">
        <f>+Tabelle354[[#This Row],[Feb-22]]*1.005</f>
        <v>101.00249999999997</v>
      </c>
      <c r="G12" s="6">
        <f>+Tabelle354[[#This Row],[Mar-22]]*1.005</f>
        <v>101.50751249999996</v>
      </c>
      <c r="H12" s="6">
        <f>+Tabelle354[[#This Row],[Apr-22]]*1.005</f>
        <v>102.01505006249995</v>
      </c>
      <c r="I12" s="6">
        <f>+Tabelle354[[#This Row],[May-22]]*1.005</f>
        <v>102.52512531281243</v>
      </c>
      <c r="J12" s="6">
        <f>+Tabelle354[[#This Row],[Jun-22]]*1.005</f>
        <v>103.03775093937648</v>
      </c>
      <c r="K12" s="6">
        <f>+Tabelle354[[#This Row],[Jul-22]]*1.005</f>
        <v>103.55293969407334</v>
      </c>
      <c r="L12" s="6">
        <f>+Tabelle354[[#This Row],[Aug-22]]*1.005</f>
        <v>104.0707043925437</v>
      </c>
      <c r="M12" s="6">
        <f>+Tabelle354[[#This Row],[Sep-22]]*1.005</f>
        <v>104.59105791450641</v>
      </c>
      <c r="N12" s="6">
        <f>+Tabelle354[[#This Row],[Oct-22]]*1.005</f>
        <v>105.11401320407893</v>
      </c>
      <c r="O12" s="6">
        <f>+Tabelle354[[#This Row],[Nov-22]]*1.005</f>
        <v>105.63958327009931</v>
      </c>
      <c r="P12" s="6">
        <f>Tabelle354[[#This Row],[Dec-22]]</f>
        <v>105.63958327009931</v>
      </c>
    </row>
    <row r="13" spans="1:16" s="2" customFormat="1" ht="13.5" customHeight="1">
      <c r="A13" s="2" t="s">
        <v>21</v>
      </c>
      <c r="B13" s="2" t="s">
        <v>39</v>
      </c>
      <c r="C13" s="7" t="str">
        <f>+VLOOKUP(Tabelle354[[#This Row],[Company]],'Drop Downs'!A:B,2,FALSE)</f>
        <v>Asia</v>
      </c>
      <c r="D13" s="2">
        <v>100</v>
      </c>
      <c r="E13" s="6">
        <f>+Tabelle354[[#This Row],[Jan-22]]*1.005</f>
        <v>100.49999999999999</v>
      </c>
      <c r="F13" s="6">
        <f>+Tabelle354[[#This Row],[Feb-22]]*1.005</f>
        <v>101.00249999999997</v>
      </c>
      <c r="G13" s="6">
        <f>+Tabelle354[[#This Row],[Mar-22]]*1.005</f>
        <v>101.50751249999996</v>
      </c>
      <c r="H13" s="6">
        <f>+Tabelle354[[#This Row],[Apr-22]]*1.005</f>
        <v>102.01505006249995</v>
      </c>
      <c r="I13" s="6">
        <f>+Tabelle354[[#This Row],[May-22]]*1.005</f>
        <v>102.52512531281243</v>
      </c>
      <c r="J13" s="6">
        <f>+Tabelle354[[#This Row],[Jun-22]]*1.005</f>
        <v>103.03775093937648</v>
      </c>
      <c r="K13" s="6">
        <f>+Tabelle354[[#This Row],[Jul-22]]*1.005</f>
        <v>103.55293969407334</v>
      </c>
      <c r="L13" s="6">
        <f>+Tabelle354[[#This Row],[Aug-22]]*1.005</f>
        <v>104.0707043925437</v>
      </c>
      <c r="M13" s="6">
        <f>+Tabelle354[[#This Row],[Sep-22]]*1.005</f>
        <v>104.59105791450641</v>
      </c>
      <c r="N13" s="6">
        <f>+Tabelle354[[#This Row],[Oct-22]]*1.005</f>
        <v>105.11401320407893</v>
      </c>
      <c r="O13" s="6">
        <f>+Tabelle354[[#This Row],[Nov-22]]*1.005</f>
        <v>105.63958327009931</v>
      </c>
      <c r="P13" s="6">
        <f>Tabelle354[[#This Row],[Dec-22]]</f>
        <v>105.63958327009931</v>
      </c>
    </row>
    <row r="14" spans="1:16" s="2" customFormat="1" ht="13.5" customHeight="1">
      <c r="A14" s="2" t="s">
        <v>21</v>
      </c>
      <c r="B14" s="2" t="s">
        <v>40</v>
      </c>
      <c r="C14" s="7" t="str">
        <f>+VLOOKUP(Tabelle354[[#This Row],[Company]],'Drop Downs'!A:B,2,FALSE)</f>
        <v>Asia</v>
      </c>
      <c r="D14" s="2">
        <v>100</v>
      </c>
      <c r="E14" s="6">
        <f>+Tabelle354[[#This Row],[Jan-22]]*1.005</f>
        <v>100.49999999999999</v>
      </c>
      <c r="F14" s="6">
        <f>+Tabelle354[[#This Row],[Feb-22]]*1.005</f>
        <v>101.00249999999997</v>
      </c>
      <c r="G14" s="6">
        <f>+Tabelle354[[#This Row],[Mar-22]]*1.005</f>
        <v>101.50751249999996</v>
      </c>
      <c r="H14" s="6">
        <f>+Tabelle354[[#This Row],[Apr-22]]*1.005</f>
        <v>102.01505006249995</v>
      </c>
      <c r="I14" s="6">
        <f>+Tabelle354[[#This Row],[May-22]]*1.005</f>
        <v>102.52512531281243</v>
      </c>
      <c r="J14" s="6">
        <f>+Tabelle354[[#This Row],[Jun-22]]*1.005</f>
        <v>103.03775093937648</v>
      </c>
      <c r="K14" s="6">
        <f>+Tabelle354[[#This Row],[Jul-22]]*1.005</f>
        <v>103.55293969407334</v>
      </c>
      <c r="L14" s="6">
        <f>+Tabelle354[[#This Row],[Aug-22]]*1.005</f>
        <v>104.0707043925437</v>
      </c>
      <c r="M14" s="6">
        <f>+Tabelle354[[#This Row],[Sep-22]]*1.005</f>
        <v>104.59105791450641</v>
      </c>
      <c r="N14" s="6">
        <f>+Tabelle354[[#This Row],[Oct-22]]*1.005</f>
        <v>105.11401320407893</v>
      </c>
      <c r="O14" s="6">
        <f>+Tabelle354[[#This Row],[Nov-22]]*1.005</f>
        <v>105.63958327009931</v>
      </c>
      <c r="P14" s="6">
        <f>Tabelle354[[#This Row],[Dec-22]]</f>
        <v>105.63958327009931</v>
      </c>
    </row>
    <row r="15" spans="1:16" s="2" customFormat="1" ht="13.5" customHeight="1">
      <c r="A15" s="2" t="s">
        <v>22</v>
      </c>
      <c r="B15" s="2" t="s">
        <v>41</v>
      </c>
      <c r="C15" s="2" t="str">
        <f>+VLOOKUP(Tabelle354[[#This Row],[Company]],'Drop Downs'!A:B,2,FALSE)</f>
        <v>Asia</v>
      </c>
      <c r="D15" s="2">
        <v>100</v>
      </c>
      <c r="E15" s="6">
        <f>+Tabelle354[[#This Row],[Jan-22]]*1.005</f>
        <v>100.49999999999999</v>
      </c>
      <c r="F15" s="6">
        <f>+Tabelle354[[#This Row],[Feb-22]]*1.005</f>
        <v>101.00249999999997</v>
      </c>
      <c r="G15" s="6">
        <f>+Tabelle354[[#This Row],[Mar-22]]*1.005</f>
        <v>101.50751249999996</v>
      </c>
      <c r="H15" s="6">
        <f>+Tabelle354[[#This Row],[Apr-22]]*1.005</f>
        <v>102.01505006249995</v>
      </c>
      <c r="I15" s="6">
        <f>+Tabelle354[[#This Row],[May-22]]*1.005</f>
        <v>102.52512531281243</v>
      </c>
      <c r="J15" s="6">
        <f>+Tabelle354[[#This Row],[Jun-22]]*1.005</f>
        <v>103.03775093937648</v>
      </c>
      <c r="K15" s="6">
        <f>+Tabelle354[[#This Row],[Jul-22]]*1.005</f>
        <v>103.55293969407334</v>
      </c>
      <c r="L15" s="6">
        <f>+Tabelle354[[#This Row],[Aug-22]]*1.005</f>
        <v>104.0707043925437</v>
      </c>
      <c r="M15" s="6">
        <f>+Tabelle354[[#This Row],[Sep-22]]*1.005</f>
        <v>104.59105791450641</v>
      </c>
      <c r="N15" s="6">
        <f>+Tabelle354[[#This Row],[Oct-22]]*1.005</f>
        <v>105.11401320407893</v>
      </c>
      <c r="O15" s="6">
        <f>+Tabelle354[[#This Row],[Nov-22]]*1.005</f>
        <v>105.63958327009931</v>
      </c>
      <c r="P15" s="6">
        <f>Tabelle354[[#This Row],[Dec-22]]</f>
        <v>105.63958327009931</v>
      </c>
    </row>
    <row r="16" spans="1:16">
      <c r="A16" s="17" t="s">
        <v>0</v>
      </c>
      <c r="B16" s="17"/>
      <c r="C16" s="17" t="str">
        <f>+VLOOKUP(Tabelle354[[#This Row],[Company]],'Drop Downs'!A:B,2,FALSE)</f>
        <v>All</v>
      </c>
      <c r="D16" s="17">
        <f>+SUBTOTAL(9,D3:D15)</f>
        <v>2420</v>
      </c>
      <c r="E16" s="17">
        <f>+SUBTOTAL(9,E3:E15)</f>
        <v>2432.0999999999995</v>
      </c>
      <c r="F16" s="17">
        <f t="shared" ref="F16:P16" si="0">+SUBTOTAL(9,F3:F15)</f>
        <v>2444.2604999999994</v>
      </c>
      <c r="G16" s="17">
        <f t="shared" si="0"/>
        <v>2456.4818024999986</v>
      </c>
      <c r="H16" s="17">
        <f t="shared" si="0"/>
        <v>2468.7642115124991</v>
      </c>
      <c r="I16" s="17">
        <f t="shared" si="0"/>
        <v>2481.1080325700618</v>
      </c>
      <c r="J16" s="17">
        <f t="shared" si="0"/>
        <v>2493.5135727329116</v>
      </c>
      <c r="K16" s="17">
        <f t="shared" si="0"/>
        <v>2505.9811405965752</v>
      </c>
      <c r="L16" s="17">
        <f t="shared" si="0"/>
        <v>2518.5110462995572</v>
      </c>
      <c r="M16" s="17">
        <f t="shared" si="0"/>
        <v>2531.1036015310556</v>
      </c>
      <c r="N16" s="17">
        <f t="shared" si="0"/>
        <v>2543.7591195387113</v>
      </c>
      <c r="O16" s="17">
        <f t="shared" si="0"/>
        <v>2556.4779151364028</v>
      </c>
      <c r="P16" s="17">
        <f t="shared" si="0"/>
        <v>2556.4779151364028</v>
      </c>
    </row>
  </sheetData>
  <pageMargins left="0.7" right="0.7" top="0.78740157499999996" bottom="0.78740157499999996" header="0.3" footer="0.3"/>
  <pageSetup paperSize="9" orientation="portrait" horizontalDpi="4294967293" verticalDpi="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858745CD-46DD-4E41-BC6F-FB68BDA8557A}">
          <x14:formula1>
            <xm:f>'Drop Downs'!$A$2:$A$9</xm:f>
          </x14:formula1>
          <xm:sqref>A3:A5</xm:sqref>
        </x14:dataValidation>
        <x14:dataValidation type="list" allowBlank="1" showInputMessage="1" showErrorMessage="1" xr:uid="{3E7F21ED-C322-4DF0-B15B-AB8B7675F3D2}">
          <x14:formula1>
            <xm:f>'Drop Downs'!$A$2:$A$8</xm:f>
          </x14:formula1>
          <xm:sqref>A6:A15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7FFA8-0119-4BAD-BEE2-151C684B38FA}">
  <sheetPr>
    <tabColor rgb="FF002060"/>
  </sheetPr>
  <dimension ref="A1:S18"/>
  <sheetViews>
    <sheetView showGridLines="0" workbookViewId="0">
      <selection activeCell="K5" sqref="K5:K17"/>
    </sheetView>
  </sheetViews>
  <sheetFormatPr baseColWidth="10" defaultRowHeight="14"/>
  <cols>
    <col min="1" max="1" width="3.26953125" style="1" customWidth="1"/>
    <col min="2" max="3" width="16.453125" style="1" customWidth="1"/>
    <col min="4" max="4" width="12.08984375" style="1" customWidth="1"/>
    <col min="5" max="8" width="8.6328125" style="1" customWidth="1"/>
    <col min="9" max="9" width="8.90625" style="1" customWidth="1"/>
    <col min="10" max="16" width="8.6328125" style="1" customWidth="1"/>
    <col min="17" max="17" width="1.90625" style="1" customWidth="1"/>
    <col min="18" max="18" width="13.08984375" style="1" customWidth="1"/>
    <col min="19" max="19" width="13.08984375" style="18" customWidth="1"/>
    <col min="20" max="16384" width="10.90625" style="1"/>
  </cols>
  <sheetData>
    <row r="1" spans="1:19">
      <c r="B1" s="5" t="s">
        <v>42</v>
      </c>
      <c r="C1" s="5"/>
      <c r="D1" s="5"/>
      <c r="E1" s="5"/>
      <c r="F1" s="5"/>
      <c r="G1" s="5"/>
      <c r="H1" s="5"/>
      <c r="I1" s="5"/>
      <c r="J1" s="5"/>
      <c r="K1" s="5"/>
      <c r="L1" s="5"/>
      <c r="M1" s="5"/>
      <c r="N1" s="5"/>
      <c r="O1" s="5"/>
      <c r="P1" s="5"/>
    </row>
    <row r="2" spans="1:19" s="9" customFormat="1">
      <c r="B2" s="8"/>
      <c r="C2" s="8"/>
      <c r="D2" s="8"/>
      <c r="E2" s="8"/>
      <c r="F2" s="8"/>
      <c r="G2" s="8"/>
      <c r="H2" s="8"/>
      <c r="I2" s="8"/>
      <c r="J2" s="8"/>
      <c r="K2" s="8"/>
      <c r="L2" s="8"/>
      <c r="M2" s="8"/>
      <c r="N2" s="8"/>
      <c r="O2" s="8"/>
      <c r="P2" s="8"/>
      <c r="S2" s="19"/>
    </row>
    <row r="3" spans="1:19">
      <c r="R3" s="14" t="s">
        <v>7</v>
      </c>
    </row>
    <row r="4" spans="1:19" s="3" customFormat="1" ht="13.5" customHeight="1">
      <c r="A4" s="13">
        <v>1</v>
      </c>
      <c r="B4" s="3" t="s">
        <v>1</v>
      </c>
      <c r="C4" s="3" t="s">
        <v>28</v>
      </c>
      <c r="D4" s="3" t="s">
        <v>2</v>
      </c>
      <c r="E4" s="4" t="s">
        <v>3</v>
      </c>
      <c r="F4" s="4" t="s">
        <v>4</v>
      </c>
      <c r="G4" s="4" t="s">
        <v>5</v>
      </c>
      <c r="H4" s="4" t="s">
        <v>6</v>
      </c>
      <c r="I4" s="4" t="s">
        <v>7</v>
      </c>
      <c r="J4" s="4" t="s">
        <v>8</v>
      </c>
      <c r="K4" s="4" t="s">
        <v>9</v>
      </c>
      <c r="L4" s="4" t="s">
        <v>10</v>
      </c>
      <c r="M4" s="4" t="s">
        <v>11</v>
      </c>
      <c r="N4" s="4" t="s">
        <v>12</v>
      </c>
      <c r="O4" s="4" t="s">
        <v>13</v>
      </c>
      <c r="P4" s="4" t="s">
        <v>14</v>
      </c>
      <c r="R4" s="10" t="s">
        <v>43</v>
      </c>
      <c r="S4" s="20" t="s">
        <v>46</v>
      </c>
    </row>
    <row r="5" spans="1:19" s="2" customFormat="1" ht="13.5" customHeight="1">
      <c r="A5" s="13">
        <v>2</v>
      </c>
      <c r="B5" s="2" t="s">
        <v>16</v>
      </c>
      <c r="C5" s="2" t="s">
        <v>29</v>
      </c>
      <c r="D5" s="2" t="str">
        <f>+VLOOKUP(Tabelle3567[[#This Row],[Company]],'Drop Downs'!A:B,2,FALSE)</f>
        <v>Europe</v>
      </c>
      <c r="E5" s="6">
        <f>+'Umsatz PLAN'!D3</f>
        <v>150</v>
      </c>
      <c r="F5" s="6">
        <v>150</v>
      </c>
      <c r="G5" s="6">
        <v>150</v>
      </c>
      <c r="H5" s="6">
        <v>150</v>
      </c>
      <c r="I5" s="6">
        <v>150</v>
      </c>
      <c r="J5" s="6">
        <v>140</v>
      </c>
      <c r="K5" s="6">
        <v>140</v>
      </c>
      <c r="L5" s="6"/>
      <c r="M5" s="6"/>
      <c r="N5" s="6"/>
      <c r="O5" s="6"/>
      <c r="P5" s="6">
        <f>+Tabelle3567[[#This Row],[Nov-22]]*0.99</f>
        <v>0</v>
      </c>
      <c r="R5" s="11">
        <f>+HLOOKUP($R$3,Tabelle3567[[#Headers],[#Data],[Jan-22]:[Dec-22]],A5,FALSE)</f>
        <v>150</v>
      </c>
      <c r="S5" s="21">
        <f>R5-(+HLOOKUP($R$3,'FTE Reporting PLAN'!$D$2:$O$15,A5,FALSE))</f>
        <v>-810.59600999999998</v>
      </c>
    </row>
    <row r="6" spans="1:19" s="2" customFormat="1" ht="13.5" customHeight="1">
      <c r="A6" s="13">
        <v>3</v>
      </c>
      <c r="B6" s="2" t="s">
        <v>16</v>
      </c>
      <c r="C6" s="2" t="s">
        <v>31</v>
      </c>
      <c r="D6" s="7" t="str">
        <f>+VLOOKUP(Tabelle3567[[#This Row],[Company]],'Drop Downs'!A:B,2,FALSE)</f>
        <v>Europe</v>
      </c>
      <c r="E6" s="6">
        <f>+'Umsatz PLAN'!D4</f>
        <v>200</v>
      </c>
      <c r="F6" s="6">
        <v>195</v>
      </c>
      <c r="G6" s="6">
        <v>195</v>
      </c>
      <c r="H6" s="6">
        <v>190</v>
      </c>
      <c r="I6" s="6">
        <v>190</v>
      </c>
      <c r="J6" s="6">
        <v>180</v>
      </c>
      <c r="K6" s="6">
        <v>180</v>
      </c>
      <c r="L6" s="6"/>
      <c r="M6" s="6"/>
      <c r="N6" s="6"/>
      <c r="O6" s="6"/>
      <c r="P6" s="6">
        <f>+Tabelle3567[[#This Row],[Nov-22]]*0.99</f>
        <v>0</v>
      </c>
      <c r="R6" s="11">
        <f>+HLOOKUP($R$3,Tabelle3567[[#Headers],[#Data],[Jan-22]:[Dec-22]],A6,FALSE)</f>
        <v>190</v>
      </c>
      <c r="S6" s="21">
        <f>R6-(+HLOOKUP($R$3,'FTE Reporting PLAN'!$D$2:$O$15,A6,FALSE))</f>
        <v>141.97019950000001</v>
      </c>
    </row>
    <row r="7" spans="1:19" s="2" customFormat="1" ht="13.5" customHeight="1">
      <c r="A7" s="13">
        <v>4</v>
      </c>
      <c r="B7" s="2" t="s">
        <v>16</v>
      </c>
      <c r="C7" s="2" t="s">
        <v>32</v>
      </c>
      <c r="D7" s="7" t="str">
        <f>+VLOOKUP(Tabelle3567[[#This Row],[Company]],'Drop Downs'!A:B,2,FALSE)</f>
        <v>Europe</v>
      </c>
      <c r="E7" s="6">
        <f>+'Umsatz PLAN'!D5</f>
        <v>250</v>
      </c>
      <c r="F7" s="6">
        <v>250</v>
      </c>
      <c r="G7" s="6">
        <v>250</v>
      </c>
      <c r="H7" s="6">
        <v>250</v>
      </c>
      <c r="I7" s="6">
        <v>250</v>
      </c>
      <c r="J7" s="6">
        <v>230</v>
      </c>
      <c r="K7" s="6">
        <v>230</v>
      </c>
      <c r="L7" s="6"/>
      <c r="M7" s="6"/>
      <c r="N7" s="6"/>
      <c r="O7" s="6"/>
      <c r="P7" s="6">
        <f>+Tabelle3567[[#This Row],[Nov-22]]*0.99</f>
        <v>0</v>
      </c>
      <c r="R7" s="11">
        <f>+HLOOKUP($R$3,Tabelle3567[[#Headers],[#Data],[Jan-22]:[Dec-22]],A7,FALSE)</f>
        <v>250</v>
      </c>
      <c r="S7" s="21">
        <f>R7-(+HLOOKUP($R$3,'FTE Reporting PLAN'!$D$2:$O$15,A7,FALSE))</f>
        <v>201.97019950000001</v>
      </c>
    </row>
    <row r="8" spans="1:19" s="2" customFormat="1" ht="13.5" customHeight="1">
      <c r="A8" s="13">
        <v>5</v>
      </c>
      <c r="B8" s="2" t="s">
        <v>17</v>
      </c>
      <c r="C8" s="2" t="s">
        <v>33</v>
      </c>
      <c r="D8" s="2" t="str">
        <f>+VLOOKUP(Tabelle3567[[#This Row],[Company]],'Drop Downs'!A:B,2,FALSE)</f>
        <v>Europe</v>
      </c>
      <c r="E8" s="6">
        <f>+'Umsatz PLAN'!D6</f>
        <v>300</v>
      </c>
      <c r="F8" s="2">
        <v>300</v>
      </c>
      <c r="G8" s="2">
        <v>300</v>
      </c>
      <c r="H8" s="2">
        <v>300</v>
      </c>
      <c r="I8" s="2">
        <v>300</v>
      </c>
      <c r="J8" s="6">
        <v>290</v>
      </c>
      <c r="K8" s="6">
        <v>290</v>
      </c>
      <c r="L8" s="6"/>
      <c r="M8" s="6"/>
      <c r="N8" s="6"/>
      <c r="O8" s="6"/>
      <c r="P8" s="6">
        <f>+Tabelle3567[[#This Row],[Nov-22]]*0.99</f>
        <v>0</v>
      </c>
      <c r="R8" s="11">
        <f>+HLOOKUP($R$3,Tabelle3567[[#Headers],[#Data],[Jan-22]:[Dec-22]],A8,FALSE)</f>
        <v>300</v>
      </c>
      <c r="S8" s="21">
        <f>R8-(+HLOOKUP($R$3,'FTE Reporting PLAN'!$D$2:$O$15,A8,FALSE))</f>
        <v>-180.29800499999999</v>
      </c>
    </row>
    <row r="9" spans="1:19" s="2" customFormat="1" ht="13.5" customHeight="1">
      <c r="A9" s="13">
        <v>6</v>
      </c>
      <c r="B9" s="2" t="s">
        <v>18</v>
      </c>
      <c r="C9" s="2" t="s">
        <v>34</v>
      </c>
      <c r="D9" s="2" t="str">
        <f>+VLOOKUP(Tabelle3567[[#This Row],[Company]],'Drop Downs'!A:B,2,FALSE)</f>
        <v>Europe</v>
      </c>
      <c r="E9" s="6">
        <f>+'Umsatz PLAN'!D7</f>
        <v>300</v>
      </c>
      <c r="F9" s="2">
        <v>290</v>
      </c>
      <c r="G9" s="2">
        <v>290</v>
      </c>
      <c r="H9" s="2">
        <v>280</v>
      </c>
      <c r="I9" s="2">
        <v>280</v>
      </c>
      <c r="J9" s="6">
        <v>270</v>
      </c>
      <c r="K9" s="6">
        <v>270</v>
      </c>
      <c r="L9" s="6"/>
      <c r="M9" s="6"/>
      <c r="N9" s="6"/>
      <c r="O9" s="6"/>
      <c r="P9" s="6">
        <f>+Tabelle3567[[#This Row],[Nov-22]]*0.99</f>
        <v>0</v>
      </c>
      <c r="R9" s="11">
        <f>+HLOOKUP($R$3,Tabelle3567[[#Headers],[#Data],[Jan-22]:[Dec-22]],A9,FALSE)</f>
        <v>280</v>
      </c>
      <c r="S9" s="21">
        <f>R9-(+HLOOKUP($R$3,'FTE Reporting PLAN'!$D$2:$O$15,A9,FALSE))</f>
        <v>87.880797999999999</v>
      </c>
    </row>
    <row r="10" spans="1:19" s="2" customFormat="1" ht="13.5" customHeight="1">
      <c r="A10" s="13">
        <v>7</v>
      </c>
      <c r="B10" s="2" t="s">
        <v>18</v>
      </c>
      <c r="C10" s="2" t="s">
        <v>35</v>
      </c>
      <c r="D10" s="7" t="str">
        <f>+VLOOKUP(Tabelle3567[[#This Row],[Company]],'Drop Downs'!A:B,2,FALSE)</f>
        <v>Europe</v>
      </c>
      <c r="E10" s="6">
        <f>+'Umsatz PLAN'!D8</f>
        <v>20</v>
      </c>
      <c r="F10" s="2">
        <v>20</v>
      </c>
      <c r="G10" s="2">
        <v>20</v>
      </c>
      <c r="H10" s="2">
        <v>20</v>
      </c>
      <c r="I10" s="2">
        <v>20</v>
      </c>
      <c r="J10" s="6">
        <v>10</v>
      </c>
      <c r="K10" s="6">
        <v>10</v>
      </c>
      <c r="L10" s="6"/>
      <c r="M10" s="6"/>
      <c r="N10" s="6"/>
      <c r="O10" s="6"/>
      <c r="P10" s="6">
        <f>+Tabelle3567[[#This Row],[Nov-22]]*0.99</f>
        <v>0</v>
      </c>
      <c r="R10" s="11">
        <f>+HLOOKUP($R$3,Tabelle3567[[#Headers],[#Data],[Jan-22]:[Dec-22]],A10,FALSE)</f>
        <v>20</v>
      </c>
      <c r="S10" s="21">
        <f>R10-(+HLOOKUP($R$3,'FTE Reporting PLAN'!$D$2:$O$15,A10,FALSE))</f>
        <v>0.788079800000002</v>
      </c>
    </row>
    <row r="11" spans="1:19" s="2" customFormat="1" ht="13.5" customHeight="1">
      <c r="A11" s="13">
        <v>8</v>
      </c>
      <c r="B11" s="2" t="s">
        <v>18</v>
      </c>
      <c r="C11" s="2" t="s">
        <v>36</v>
      </c>
      <c r="D11" s="7" t="str">
        <f>+VLOOKUP(Tabelle3567[[#This Row],[Company]],'Drop Downs'!A:B,2,FALSE)</f>
        <v>Europe</v>
      </c>
      <c r="E11" s="6">
        <f>+'Umsatz PLAN'!D9</f>
        <v>300</v>
      </c>
      <c r="F11" s="2">
        <v>300</v>
      </c>
      <c r="G11" s="2">
        <v>300</v>
      </c>
      <c r="H11" s="2">
        <v>300</v>
      </c>
      <c r="I11" s="2">
        <v>300</v>
      </c>
      <c r="J11" s="6">
        <v>280</v>
      </c>
      <c r="K11" s="6">
        <v>280</v>
      </c>
      <c r="L11" s="6"/>
      <c r="M11" s="6"/>
      <c r="N11" s="6"/>
      <c r="O11" s="6"/>
      <c r="P11" s="6">
        <f>+Tabelle3567[[#This Row],[Nov-22]]*0.99</f>
        <v>0</v>
      </c>
      <c r="R11" s="11">
        <f>+HLOOKUP($R$3,Tabelle3567[[#Headers],[#Data],[Jan-22]:[Dec-22]],A11,FALSE)</f>
        <v>300</v>
      </c>
      <c r="S11" s="21">
        <f>R11-(+HLOOKUP($R$3,'FTE Reporting PLAN'!$D$2:$O$15,A11,FALSE))</f>
        <v>280.78807979999999</v>
      </c>
    </row>
    <row r="12" spans="1:19" s="2" customFormat="1" ht="13.5" customHeight="1">
      <c r="A12" s="13">
        <v>9</v>
      </c>
      <c r="B12" s="2" t="s">
        <v>19</v>
      </c>
      <c r="C12" s="2" t="s">
        <v>30</v>
      </c>
      <c r="D12" s="2" t="str">
        <f>+VLOOKUP(Tabelle3567[[#This Row],[Company]],'Drop Downs'!A:B,2,FALSE)</f>
        <v>Americas</v>
      </c>
      <c r="E12" s="6">
        <f>+'Umsatz PLAN'!D10</f>
        <v>250</v>
      </c>
      <c r="F12" s="2">
        <v>250</v>
      </c>
      <c r="G12" s="2">
        <v>250</v>
      </c>
      <c r="H12" s="2">
        <v>250</v>
      </c>
      <c r="I12" s="2">
        <v>250</v>
      </c>
      <c r="J12" s="6">
        <v>240</v>
      </c>
      <c r="K12" s="6">
        <v>240</v>
      </c>
      <c r="L12" s="6"/>
      <c r="M12" s="6"/>
      <c r="N12" s="6"/>
      <c r="O12" s="6"/>
      <c r="P12" s="6">
        <f>+Tabelle3567[[#This Row],[Nov-22]]*0.99</f>
        <v>0</v>
      </c>
      <c r="R12" s="11">
        <f>+HLOOKUP($R$3,Tabelle3567[[#Headers],[#Data],[Jan-22]:[Dec-22]],A12,FALSE)</f>
        <v>250</v>
      </c>
      <c r="S12" s="21">
        <f>R12-(+HLOOKUP($R$3,'FTE Reporting PLAN'!$D$2:$O$15,A12,FALSE))</f>
        <v>105.91059849999999</v>
      </c>
    </row>
    <row r="13" spans="1:19" s="2" customFormat="1" ht="13.5" customHeight="1">
      <c r="A13" s="13">
        <v>10</v>
      </c>
      <c r="B13" s="2" t="s">
        <v>20</v>
      </c>
      <c r="C13" s="2" t="s">
        <v>37</v>
      </c>
      <c r="D13" s="2" t="str">
        <f>+VLOOKUP(Tabelle3567[[#This Row],[Company]],'Drop Downs'!A:B,2,FALSE)</f>
        <v>Americas</v>
      </c>
      <c r="E13" s="6">
        <f>+'Umsatz PLAN'!D11</f>
        <v>250</v>
      </c>
      <c r="F13" s="2">
        <v>250</v>
      </c>
      <c r="G13" s="2">
        <v>250</v>
      </c>
      <c r="H13" s="2">
        <v>250</v>
      </c>
      <c r="I13" s="2">
        <v>250</v>
      </c>
      <c r="J13" s="6">
        <v>240</v>
      </c>
      <c r="K13" s="6">
        <v>240</v>
      </c>
      <c r="L13" s="6"/>
      <c r="M13" s="6"/>
      <c r="N13" s="6"/>
      <c r="O13" s="6"/>
      <c r="P13" s="6">
        <f>+Tabelle3567[[#This Row],[Nov-22]]*0.99</f>
        <v>0</v>
      </c>
      <c r="R13" s="11">
        <f>+HLOOKUP($R$3,Tabelle3567[[#Headers],[#Data],[Jan-22]:[Dec-22]],A13,FALSE)</f>
        <v>250</v>
      </c>
      <c r="S13" s="21">
        <f>R13-(+HLOOKUP($R$3,'FTE Reporting PLAN'!$D$2:$O$15,A13,FALSE))</f>
        <v>230.78807979999999</v>
      </c>
    </row>
    <row r="14" spans="1:19" s="2" customFormat="1" ht="13.5" customHeight="1">
      <c r="A14" s="13">
        <v>11</v>
      </c>
      <c r="B14" s="2" t="s">
        <v>21</v>
      </c>
      <c r="C14" s="2" t="s">
        <v>38</v>
      </c>
      <c r="D14" s="2" t="str">
        <f>+VLOOKUP(Tabelle3567[[#This Row],[Company]],'Drop Downs'!A:B,2,FALSE)</f>
        <v>Asia</v>
      </c>
      <c r="E14" s="6">
        <f>+'Umsatz PLAN'!D12</f>
        <v>100</v>
      </c>
      <c r="F14" s="2">
        <v>100</v>
      </c>
      <c r="G14" s="2">
        <v>100</v>
      </c>
      <c r="H14" s="2">
        <v>100</v>
      </c>
      <c r="I14" s="2">
        <v>100</v>
      </c>
      <c r="J14" s="6">
        <v>90</v>
      </c>
      <c r="K14" s="6">
        <v>90</v>
      </c>
      <c r="L14" s="6"/>
      <c r="M14" s="6"/>
      <c r="N14" s="6"/>
      <c r="O14" s="6"/>
      <c r="P14" s="6">
        <f>+Tabelle3567[[#This Row],[Nov-22]]*1.01</f>
        <v>0</v>
      </c>
      <c r="R14" s="11">
        <f>+HLOOKUP($R$3,Tabelle3567[[#Headers],[#Data],[Jan-22]:[Dec-22]],A14,FALSE)</f>
        <v>100</v>
      </c>
      <c r="S14" s="21">
        <f>R14-(+HLOOKUP($R$3,'FTE Reporting PLAN'!$D$2:$O$15,A14,FALSE))</f>
        <v>-56.09060150000002</v>
      </c>
    </row>
    <row r="15" spans="1:19" s="2" customFormat="1" ht="13.5" customHeight="1">
      <c r="A15" s="13">
        <v>12</v>
      </c>
      <c r="B15" s="2" t="s">
        <v>21</v>
      </c>
      <c r="C15" s="2" t="s">
        <v>39</v>
      </c>
      <c r="D15" s="7" t="str">
        <f>+VLOOKUP(Tabelle3567[[#This Row],[Company]],'Drop Downs'!A:B,2,FALSE)</f>
        <v>Asia</v>
      </c>
      <c r="E15" s="6">
        <f>+'Umsatz PLAN'!D13</f>
        <v>100</v>
      </c>
      <c r="F15" s="2">
        <v>100</v>
      </c>
      <c r="G15" s="2">
        <v>100</v>
      </c>
      <c r="H15" s="2">
        <v>105</v>
      </c>
      <c r="I15" s="2">
        <v>105</v>
      </c>
      <c r="J15" s="6">
        <v>90</v>
      </c>
      <c r="K15" s="6">
        <v>90</v>
      </c>
      <c r="L15" s="6"/>
      <c r="M15" s="6"/>
      <c r="N15" s="6"/>
      <c r="O15" s="6"/>
      <c r="P15" s="6">
        <f>+Tabelle3567[[#This Row],[Nov-22]]*0.99</f>
        <v>0</v>
      </c>
      <c r="R15" s="11">
        <f>+HLOOKUP($R$3,Tabelle3567[[#Headers],[#Data],[Jan-22]:[Dec-22]],A15,FALSE)</f>
        <v>105</v>
      </c>
      <c r="S15" s="21">
        <f>R15-(+HLOOKUP($R$3,'FTE Reporting PLAN'!$D$2:$O$15,A15,FALSE))</f>
        <v>73.78187969999999</v>
      </c>
    </row>
    <row r="16" spans="1:19" s="2" customFormat="1" ht="13.5" customHeight="1">
      <c r="A16" s="13">
        <v>13</v>
      </c>
      <c r="B16" s="2" t="s">
        <v>21</v>
      </c>
      <c r="C16" s="2" t="s">
        <v>40</v>
      </c>
      <c r="D16" s="7" t="str">
        <f>+VLOOKUP(Tabelle3567[[#This Row],[Company]],'Drop Downs'!A:B,2,FALSE)</f>
        <v>Asia</v>
      </c>
      <c r="E16" s="6">
        <f>+'Umsatz PLAN'!D14</f>
        <v>100</v>
      </c>
      <c r="F16" s="2">
        <v>100</v>
      </c>
      <c r="G16" s="2">
        <v>100</v>
      </c>
      <c r="H16" s="2">
        <v>110</v>
      </c>
      <c r="I16" s="2">
        <v>115</v>
      </c>
      <c r="J16" s="6">
        <v>90</v>
      </c>
      <c r="K16" s="6">
        <v>90</v>
      </c>
      <c r="L16" s="6"/>
      <c r="M16" s="6"/>
      <c r="N16" s="6"/>
      <c r="O16" s="6"/>
      <c r="P16" s="6">
        <f>+Tabelle3567[[#This Row],[Nov-22]]*0.99</f>
        <v>0</v>
      </c>
      <c r="R16" s="11">
        <f>+HLOOKUP($R$3,Tabelle3567[[#Headers],[#Data],[Jan-22]:[Dec-22]],A16,FALSE)</f>
        <v>115</v>
      </c>
      <c r="S16" s="21">
        <f>R16-(+HLOOKUP($R$3,'FTE Reporting PLAN'!$D$2:$O$15,A16,FALSE))</f>
        <v>60</v>
      </c>
    </row>
    <row r="17" spans="1:19" s="2" customFormat="1" ht="13.5" customHeight="1">
      <c r="A17" s="13">
        <v>14</v>
      </c>
      <c r="B17" s="2" t="s">
        <v>22</v>
      </c>
      <c r="C17" s="2" t="s">
        <v>41</v>
      </c>
      <c r="D17" s="2" t="str">
        <f>+VLOOKUP(Tabelle3567[[#This Row],[Company]],'Drop Downs'!A:B,2,FALSE)</f>
        <v>Asia</v>
      </c>
      <c r="E17" s="6">
        <f>+'Umsatz PLAN'!D15</f>
        <v>100</v>
      </c>
      <c r="F17" s="2">
        <v>100</v>
      </c>
      <c r="G17" s="2">
        <v>100</v>
      </c>
      <c r="H17" s="2">
        <v>100</v>
      </c>
      <c r="I17" s="2">
        <v>100</v>
      </c>
      <c r="J17" s="6">
        <v>90</v>
      </c>
      <c r="K17" s="6">
        <v>90</v>
      </c>
      <c r="L17" s="6"/>
      <c r="M17" s="6"/>
      <c r="N17" s="6"/>
      <c r="O17" s="6"/>
      <c r="P17" s="6">
        <f>+Tabelle3567[[#This Row],[Nov-22]]*1.01</f>
        <v>0</v>
      </c>
      <c r="R17" s="11">
        <f>+HLOOKUP($R$3,Tabelle3567[[#Headers],[#Data],[Jan-22]:[Dec-22]],A17,FALSE)</f>
        <v>100</v>
      </c>
      <c r="S17" s="21">
        <f>R17-(+HLOOKUP($R$3,'FTE Reporting PLAN'!$D$2:$O$15,A17,FALSE))</f>
        <v>-160.1510025</v>
      </c>
    </row>
    <row r="18" spans="1:19">
      <c r="A18" s="13"/>
      <c r="B18" s="2" t="s">
        <v>44</v>
      </c>
      <c r="C18" s="2"/>
      <c r="D18" s="2"/>
      <c r="E18" s="2">
        <f>SUBTOTAL(109,Tabelle3567[Jan-22])</f>
        <v>2420</v>
      </c>
      <c r="F18" s="2">
        <f>SUBTOTAL(109,Tabelle3567[Feb-22])</f>
        <v>2405</v>
      </c>
      <c r="G18" s="2">
        <f>SUBTOTAL(109,Tabelle3567[Mar-22])</f>
        <v>2405</v>
      </c>
      <c r="H18" s="2">
        <f>SUBTOTAL(109,Tabelle3567[Apr-22])</f>
        <v>2405</v>
      </c>
      <c r="I18" s="2">
        <f>SUBTOTAL(109,Tabelle3567[May-22])</f>
        <v>2410</v>
      </c>
      <c r="J18" s="2">
        <f>SUBTOTAL(109,Tabelle3567[Jun-22])</f>
        <v>2240</v>
      </c>
      <c r="K18" s="2">
        <f>SUBTOTAL(109,Tabelle3567[Jul-22])</f>
        <v>2240</v>
      </c>
      <c r="L18" s="2">
        <f>SUBTOTAL(109,Tabelle3567[Aug-22])</f>
        <v>0</v>
      </c>
      <c r="M18" s="2">
        <f>SUBTOTAL(109,Tabelle3567[Sep-22])</f>
        <v>0</v>
      </c>
      <c r="N18" s="2">
        <f>SUBTOTAL(109,Tabelle3567[Oct-22])</f>
        <v>0</v>
      </c>
      <c r="O18" s="2">
        <f>SUBTOTAL(109,Tabelle3567[Nov-22])</f>
        <v>0</v>
      </c>
      <c r="P18" s="2">
        <f>SUBTOTAL(109,Tabelle3567[Dec-22])</f>
        <v>0</v>
      </c>
      <c r="R18" s="12"/>
      <c r="S18" s="22"/>
    </row>
  </sheetData>
  <dataValidations disablePrompts="1" count="1">
    <dataValidation type="list" allowBlank="1" showInputMessage="1" showErrorMessage="1" sqref="R3" xr:uid="{FD9E6BAF-7BE8-45B8-9F4D-A408BEB2AE84}">
      <formula1>$E$4:$P$4</formula1>
    </dataValidation>
  </dataValidations>
  <pageMargins left="0.7" right="0.7" top="0.78740157499999996" bottom="0.78740157499999996" header="0.3" footer="0.3"/>
  <pageSetup paperSize="9" orientation="portrait" horizontalDpi="4294967293"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 id="{498D97FE-C70C-4742-BA8E-9271E8220B61}">
            <x14:iconSet custom="1">
              <x14:cfvo type="percent">
                <xm:f>0</xm:f>
              </x14:cfvo>
              <x14:cfvo type="percent">
                <xm:f>33</xm:f>
              </x14:cfvo>
              <x14:cfvo type="percent">
                <xm:f>67</xm:f>
              </x14:cfvo>
              <x14:cfIcon iconSet="3TrafficLights1" iconId="2"/>
              <x14:cfIcon iconSet="3TrafficLights1" iconId="1"/>
              <x14:cfIcon iconSet="3TrafficLights1" iconId="0"/>
            </x14:iconSet>
          </x14:cfRule>
          <xm:sqref>S5:S17</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r:uid="{9EE91F5C-4D64-4BC7-A0F3-F3E602E7DB4C}">
          <x14:formula1>
            <xm:f>'Drop Downs'!$A$2:$A$8</xm:f>
          </x14:formula1>
          <xm:sqref>B8:B17</xm:sqref>
        </x14:dataValidation>
        <x14:dataValidation type="list" allowBlank="1" showInputMessage="1" showErrorMessage="1" xr:uid="{14ABEC50-6817-4834-BA27-EA3B78C13D64}">
          <x14:formula1>
            <xm:f>'Drop Downs'!$A$2:$A$9</xm:f>
          </x14:formula1>
          <xm:sqref>B5:B7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7F1B2-C9B3-4E60-A4E4-2D6F00E51980}">
  <sheetPr>
    <tabColor rgb="FF002060"/>
  </sheetPr>
  <dimension ref="A1:P30"/>
  <sheetViews>
    <sheetView showGridLines="0" topLeftCell="A9" workbookViewId="0">
      <selection activeCell="A26" sqref="A26:XFD26"/>
    </sheetView>
  </sheetViews>
  <sheetFormatPr baseColWidth="10" defaultRowHeight="14"/>
  <cols>
    <col min="1" max="2" width="16.453125" style="1" customWidth="1"/>
    <col min="3" max="4" width="12.08984375" style="1" customWidth="1"/>
    <col min="5" max="8" width="8.6328125" style="1" customWidth="1"/>
    <col min="9" max="9" width="8.90625" style="1" customWidth="1"/>
    <col min="10" max="16" width="8.6328125" style="1" customWidth="1"/>
    <col min="17" max="16384" width="10.90625" style="1"/>
  </cols>
  <sheetData>
    <row r="1" spans="1:16">
      <c r="E1" s="27">
        <v>3</v>
      </c>
      <c r="F1" s="27">
        <v>4</v>
      </c>
      <c r="G1" s="27">
        <v>5</v>
      </c>
      <c r="H1" s="27">
        <v>6</v>
      </c>
      <c r="I1" s="27">
        <v>7</v>
      </c>
      <c r="J1" s="27">
        <v>8</v>
      </c>
      <c r="K1" s="27">
        <v>9</v>
      </c>
      <c r="L1" s="27">
        <v>10</v>
      </c>
      <c r="M1" s="27">
        <v>11</v>
      </c>
      <c r="N1" s="27">
        <v>12</v>
      </c>
      <c r="O1" s="27">
        <v>13</v>
      </c>
      <c r="P1" s="27">
        <v>14</v>
      </c>
    </row>
    <row r="2" spans="1:16">
      <c r="A2" s="5" t="s">
        <v>118</v>
      </c>
      <c r="B2" s="5"/>
      <c r="C2" s="5"/>
      <c r="D2" s="5"/>
      <c r="E2" s="5"/>
      <c r="F2" s="5"/>
      <c r="G2" s="5"/>
      <c r="H2" s="5"/>
      <c r="I2" s="5"/>
      <c r="J2" s="5"/>
      <c r="K2" s="5"/>
      <c r="L2" s="5"/>
      <c r="M2" s="5"/>
      <c r="N2" s="5"/>
      <c r="O2" s="5"/>
      <c r="P2" s="5"/>
    </row>
    <row r="3" spans="1:16" s="3" customFormat="1" ht="13.5" customHeight="1">
      <c r="A3" s="3" t="s">
        <v>1</v>
      </c>
      <c r="B3" s="3" t="s">
        <v>28</v>
      </c>
      <c r="C3" s="3" t="s">
        <v>2</v>
      </c>
      <c r="D3" s="3" t="s">
        <v>88</v>
      </c>
      <c r="E3" s="4" t="s">
        <v>3</v>
      </c>
      <c r="F3" s="4" t="s">
        <v>4</v>
      </c>
      <c r="G3" s="4" t="s">
        <v>5</v>
      </c>
      <c r="H3" s="4" t="s">
        <v>6</v>
      </c>
      <c r="I3" s="4" t="s">
        <v>7</v>
      </c>
      <c r="J3" s="4" t="s">
        <v>8</v>
      </c>
      <c r="K3" s="4" t="s">
        <v>9</v>
      </c>
      <c r="L3" s="4" t="s">
        <v>10</v>
      </c>
      <c r="M3" s="4" t="s">
        <v>11</v>
      </c>
      <c r="N3" s="4" t="s">
        <v>12</v>
      </c>
      <c r="O3" s="4" t="s">
        <v>13</v>
      </c>
      <c r="P3" s="4" t="s">
        <v>14</v>
      </c>
    </row>
    <row r="4" spans="1:16" s="2" customFormat="1" ht="13.5" customHeight="1">
      <c r="A4" s="2" t="s">
        <v>16</v>
      </c>
      <c r="B4" s="2" t="s">
        <v>29</v>
      </c>
      <c r="C4" s="2" t="str">
        <f>+VLOOKUP(Tabelle3538[[#This Row],[Company]],'Drop Downs'!A:B,2,FALSE)</f>
        <v>Europe</v>
      </c>
      <c r="D4" s="2" t="s">
        <v>89</v>
      </c>
      <c r="E4" s="6">
        <f>VLOOKUP($B4,'Umsatz PLAN'!$B:$P,'Umsatz PLAN ACT '!E$1,FALSE)</f>
        <v>150</v>
      </c>
      <c r="F4" s="6">
        <f>VLOOKUP($B4,'Umsatz PLAN'!$B:$P,'Umsatz PLAN ACT '!F$1,FALSE)</f>
        <v>150.74999999999997</v>
      </c>
      <c r="G4" s="6">
        <f>VLOOKUP($B4,'Umsatz PLAN'!$B:$P,'Umsatz PLAN ACT '!G$1,FALSE)</f>
        <v>151.50374999999997</v>
      </c>
      <c r="H4" s="6">
        <f>VLOOKUP($B4,'Umsatz PLAN'!$B:$P,'Umsatz PLAN ACT '!H$1,FALSE)</f>
        <v>152.26126874999994</v>
      </c>
      <c r="I4" s="6">
        <f>VLOOKUP($B4,'Umsatz PLAN'!$B:$P,'Umsatz PLAN ACT '!I$1,FALSE)</f>
        <v>153.02257509374994</v>
      </c>
      <c r="J4" s="6">
        <f>VLOOKUP($B4,'Umsatz PLAN'!$B:$P,'Umsatz PLAN ACT '!J$1,FALSE)</f>
        <v>153.78768796921867</v>
      </c>
      <c r="K4" s="6">
        <f>VLOOKUP($B4,'Umsatz PLAN'!$B:$P,'Umsatz PLAN ACT '!K$1,FALSE)</f>
        <v>154.55662640906473</v>
      </c>
      <c r="L4" s="6">
        <f>VLOOKUP($B4,'Umsatz PLAN'!$B:$P,'Umsatz PLAN ACT '!L$1,FALSE)</f>
        <v>155.32940954111004</v>
      </c>
      <c r="M4" s="6">
        <f>VLOOKUP($B4,'Umsatz PLAN'!$B:$P,'Umsatz PLAN ACT '!M$1,FALSE)</f>
        <v>156.10605658881556</v>
      </c>
      <c r="N4" s="6">
        <f>VLOOKUP($B4,'Umsatz PLAN'!$B:$P,'Umsatz PLAN ACT '!N$1,FALSE)</f>
        <v>156.88658687175962</v>
      </c>
      <c r="O4" s="6">
        <f>VLOOKUP($B4,'Umsatz PLAN'!$B:$P,'Umsatz PLAN ACT '!O$1,FALSE)</f>
        <v>157.67101980611841</v>
      </c>
      <c r="P4" s="6">
        <f>VLOOKUP($B4,'Umsatz PLAN'!$B:$P,'Umsatz PLAN ACT '!P$1,FALSE)</f>
        <v>158.45937490514899</v>
      </c>
    </row>
    <row r="5" spans="1:16" s="2" customFormat="1" ht="13.5" customHeight="1">
      <c r="A5" s="2" t="s">
        <v>16</v>
      </c>
      <c r="B5" s="2" t="s">
        <v>29</v>
      </c>
      <c r="C5" s="7" t="str">
        <f>+VLOOKUP(Tabelle3538[[#This Row],[Company]],'Drop Downs'!A:B,2,FALSE)</f>
        <v>Europe</v>
      </c>
      <c r="D5" s="7" t="s">
        <v>90</v>
      </c>
      <c r="E5" s="6">
        <f>+VLOOKUP($B5,'Umsatz ACT'!$C:$P,E$1,FALSE)</f>
        <v>150</v>
      </c>
      <c r="F5" s="6">
        <f>+VLOOKUP($B5,'Umsatz ACT'!$C:$P,F$1,FALSE)</f>
        <v>150</v>
      </c>
      <c r="G5" s="6">
        <f>+VLOOKUP($B5,'Umsatz ACT'!$C:$P,G$1,FALSE)</f>
        <v>150</v>
      </c>
      <c r="H5" s="6">
        <f>+VLOOKUP($B5,'Umsatz ACT'!$C:$P,H$1,FALSE)</f>
        <v>150</v>
      </c>
      <c r="I5" s="6">
        <f>+VLOOKUP($B5,'Umsatz ACT'!$C:$P,I$1,FALSE)</f>
        <v>150</v>
      </c>
      <c r="J5" s="6">
        <f>+VLOOKUP($B5,'Umsatz ACT'!$C:$P,J$1,FALSE)</f>
        <v>140</v>
      </c>
      <c r="K5" s="6">
        <f>+VLOOKUP($B5,'Umsatz ACT'!$C:$P,K$1,FALSE)</f>
        <v>140</v>
      </c>
      <c r="L5" s="6">
        <f>+VLOOKUP($B5,'Umsatz ACT'!$C:$P,L$1,FALSE)</f>
        <v>0</v>
      </c>
      <c r="M5" s="6">
        <f>+VLOOKUP($B5,'Umsatz ACT'!$C:$P,M$1,FALSE)</f>
        <v>0</v>
      </c>
      <c r="N5" s="6">
        <f>+VLOOKUP($B5,'Umsatz ACT'!$C:$P,N$1,FALSE)</f>
        <v>0</v>
      </c>
      <c r="O5" s="6">
        <f>+VLOOKUP($B5,'Umsatz ACT'!$C:$P,O$1,FALSE)</f>
        <v>0</v>
      </c>
      <c r="P5" s="6">
        <f>+VLOOKUP($B5,'Umsatz ACT'!$C:$P,P$1,FALSE)</f>
        <v>0</v>
      </c>
    </row>
    <row r="6" spans="1:16" s="2" customFormat="1" ht="13.5" customHeight="1">
      <c r="A6" s="2" t="s">
        <v>16</v>
      </c>
      <c r="B6" s="2" t="s">
        <v>31</v>
      </c>
      <c r="C6" s="7" t="str">
        <f>+VLOOKUP(Tabelle3538[[#This Row],[Company]],'Drop Downs'!A:B,2,FALSE)</f>
        <v>Europe</v>
      </c>
      <c r="D6" s="2" t="s">
        <v>89</v>
      </c>
      <c r="E6" s="6">
        <f>VLOOKUP($B6,'Umsatz PLAN'!$B:$P,'Umsatz PLAN ACT '!E$1,FALSE)</f>
        <v>200</v>
      </c>
      <c r="F6" s="6">
        <f>VLOOKUP($B6,'Umsatz PLAN'!$B:$P,'Umsatz PLAN ACT '!F$1,FALSE)</f>
        <v>200.99999999999997</v>
      </c>
      <c r="G6" s="6">
        <f>VLOOKUP($B6,'Umsatz PLAN'!$B:$P,'Umsatz PLAN ACT '!G$1,FALSE)</f>
        <v>202.00499999999994</v>
      </c>
      <c r="H6" s="6">
        <f>VLOOKUP($B6,'Umsatz PLAN'!$B:$P,'Umsatz PLAN ACT '!H$1,FALSE)</f>
        <v>203.01502499999992</v>
      </c>
      <c r="I6" s="6">
        <f>VLOOKUP($B6,'Umsatz PLAN'!$B:$P,'Umsatz PLAN ACT '!I$1,FALSE)</f>
        <v>204.0301001249999</v>
      </c>
      <c r="J6" s="6">
        <f>VLOOKUP($B6,'Umsatz PLAN'!$B:$P,'Umsatz PLAN ACT '!J$1,FALSE)</f>
        <v>205.05025062562487</v>
      </c>
      <c r="K6" s="6">
        <f>VLOOKUP($B6,'Umsatz PLAN'!$B:$P,'Umsatz PLAN ACT '!K$1,FALSE)</f>
        <v>206.07550187875296</v>
      </c>
      <c r="L6" s="6">
        <f>VLOOKUP($B6,'Umsatz PLAN'!$B:$P,'Umsatz PLAN ACT '!L$1,FALSE)</f>
        <v>207.10587938814669</v>
      </c>
      <c r="M6" s="6">
        <f>VLOOKUP($B6,'Umsatz PLAN'!$B:$P,'Umsatz PLAN ACT '!M$1,FALSE)</f>
        <v>208.14140878508741</v>
      </c>
      <c r="N6" s="6">
        <f>VLOOKUP($B6,'Umsatz PLAN'!$B:$P,'Umsatz PLAN ACT '!N$1,FALSE)</f>
        <v>209.18211582901282</v>
      </c>
      <c r="O6" s="6">
        <f>VLOOKUP($B6,'Umsatz PLAN'!$B:$P,'Umsatz PLAN ACT '!O$1,FALSE)</f>
        <v>210.22802640815786</v>
      </c>
      <c r="P6" s="6">
        <f>VLOOKUP($B6,'Umsatz PLAN'!$B:$P,'Umsatz PLAN ACT '!P$1,FALSE)</f>
        <v>211.27916654019862</v>
      </c>
    </row>
    <row r="7" spans="1:16" s="2" customFormat="1" ht="13.5" customHeight="1">
      <c r="A7" s="2" t="s">
        <v>16</v>
      </c>
      <c r="B7" s="2" t="s">
        <v>31</v>
      </c>
      <c r="C7" s="7" t="str">
        <f>+VLOOKUP(Tabelle3538[[#This Row],[Company]],'Drop Downs'!A:B,2,FALSE)</f>
        <v>Europe</v>
      </c>
      <c r="D7" s="7" t="s">
        <v>90</v>
      </c>
      <c r="E7" s="6">
        <f>+VLOOKUP($B7,'Umsatz ACT'!$C:$P,E$1,FALSE)</f>
        <v>200</v>
      </c>
      <c r="F7" s="6">
        <f>+VLOOKUP($B7,'Umsatz ACT'!$C:$P,F$1,FALSE)</f>
        <v>195</v>
      </c>
      <c r="G7" s="6">
        <f>+VLOOKUP($B7,'Umsatz ACT'!$C:$P,G$1,FALSE)</f>
        <v>195</v>
      </c>
      <c r="H7" s="6">
        <f>+VLOOKUP($B7,'Umsatz ACT'!$C:$P,H$1,FALSE)</f>
        <v>190</v>
      </c>
      <c r="I7" s="6">
        <f>+VLOOKUP($B7,'Umsatz ACT'!$C:$P,I$1,FALSE)</f>
        <v>190</v>
      </c>
      <c r="J7" s="6">
        <f>+VLOOKUP($B7,'Umsatz ACT'!$C:$P,J$1,FALSE)</f>
        <v>180</v>
      </c>
      <c r="K7" s="6">
        <f>+VLOOKUP($B7,'Umsatz ACT'!$C:$P,K$1,FALSE)</f>
        <v>180</v>
      </c>
      <c r="L7" s="6">
        <f>+VLOOKUP($B7,'Umsatz ACT'!$C:$P,L$1,FALSE)</f>
        <v>0</v>
      </c>
      <c r="M7" s="6">
        <f>+VLOOKUP($B7,'Umsatz ACT'!$C:$P,M$1,FALSE)</f>
        <v>0</v>
      </c>
      <c r="N7" s="6">
        <f>+VLOOKUP($B7,'Umsatz ACT'!$C:$P,N$1,FALSE)</f>
        <v>0</v>
      </c>
      <c r="O7" s="6">
        <f>+VLOOKUP($B7,'Umsatz ACT'!$C:$P,O$1,FALSE)</f>
        <v>0</v>
      </c>
      <c r="P7" s="6">
        <f>+VLOOKUP($B7,'Umsatz ACT'!$C:$P,P$1,FALSE)</f>
        <v>0</v>
      </c>
    </row>
    <row r="8" spans="1:16" s="2" customFormat="1" ht="13.5" customHeight="1">
      <c r="A8" s="2" t="s">
        <v>16</v>
      </c>
      <c r="B8" s="2" t="s">
        <v>32</v>
      </c>
      <c r="C8" s="7" t="str">
        <f>+VLOOKUP(Tabelle3538[[#This Row],[Company]],'Drop Downs'!A:B,2,FALSE)</f>
        <v>Europe</v>
      </c>
      <c r="D8" s="2" t="s">
        <v>89</v>
      </c>
      <c r="E8" s="6">
        <f>VLOOKUP($B8,'Umsatz PLAN'!$B:$P,'Umsatz PLAN ACT '!E$1,FALSE)</f>
        <v>250</v>
      </c>
      <c r="F8" s="6">
        <f>VLOOKUP($B8,'Umsatz PLAN'!$B:$P,'Umsatz PLAN ACT '!F$1,FALSE)</f>
        <v>251.24999999999997</v>
      </c>
      <c r="G8" s="6">
        <f>VLOOKUP($B8,'Umsatz PLAN'!$B:$P,'Umsatz PLAN ACT '!G$1,FALSE)</f>
        <v>252.50624999999994</v>
      </c>
      <c r="H8" s="6">
        <f>VLOOKUP($B8,'Umsatz PLAN'!$B:$P,'Umsatz PLAN ACT '!H$1,FALSE)</f>
        <v>253.7687812499999</v>
      </c>
      <c r="I8" s="6">
        <f>VLOOKUP($B8,'Umsatz PLAN'!$B:$P,'Umsatz PLAN ACT '!I$1,FALSE)</f>
        <v>255.03762515624987</v>
      </c>
      <c r="J8" s="6">
        <f>VLOOKUP($B8,'Umsatz PLAN'!$B:$P,'Umsatz PLAN ACT '!J$1,FALSE)</f>
        <v>256.31281328203107</v>
      </c>
      <c r="K8" s="6">
        <f>VLOOKUP($B8,'Umsatz PLAN'!$B:$P,'Umsatz PLAN ACT '!K$1,FALSE)</f>
        <v>257.59437734844118</v>
      </c>
      <c r="L8" s="6">
        <f>VLOOKUP($B8,'Umsatz PLAN'!$B:$P,'Umsatz PLAN ACT '!L$1,FALSE)</f>
        <v>258.88234923518337</v>
      </c>
      <c r="M8" s="6">
        <f>VLOOKUP($B8,'Umsatz PLAN'!$B:$P,'Umsatz PLAN ACT '!M$1,FALSE)</f>
        <v>260.17676098135928</v>
      </c>
      <c r="N8" s="6">
        <f>VLOOKUP($B8,'Umsatz PLAN'!$B:$P,'Umsatz PLAN ACT '!N$1,FALSE)</f>
        <v>261.47764478626607</v>
      </c>
      <c r="O8" s="6">
        <f>VLOOKUP($B8,'Umsatz PLAN'!$B:$P,'Umsatz PLAN ACT '!O$1,FALSE)</f>
        <v>262.78503301019737</v>
      </c>
      <c r="P8" s="6">
        <f>VLOOKUP($B8,'Umsatz PLAN'!$B:$P,'Umsatz PLAN ACT '!P$1,FALSE)</f>
        <v>264.0989581752483</v>
      </c>
    </row>
    <row r="9" spans="1:16" s="2" customFormat="1" ht="13.5" customHeight="1">
      <c r="A9" s="2" t="s">
        <v>16</v>
      </c>
      <c r="B9" s="2" t="s">
        <v>32</v>
      </c>
      <c r="C9" s="7" t="str">
        <f>+VLOOKUP(Tabelle3538[[#This Row],[Company]],'Drop Downs'!A:B,2,FALSE)</f>
        <v>Europe</v>
      </c>
      <c r="D9" s="7" t="s">
        <v>90</v>
      </c>
      <c r="E9" s="6">
        <f>+VLOOKUP($B9,'Umsatz ACT'!$C:$P,E$1,FALSE)</f>
        <v>250</v>
      </c>
      <c r="F9" s="6">
        <f>+VLOOKUP($B9,'Umsatz ACT'!$C:$P,F$1,FALSE)</f>
        <v>250</v>
      </c>
      <c r="G9" s="6">
        <f>+VLOOKUP($B9,'Umsatz ACT'!$C:$P,G$1,FALSE)</f>
        <v>250</v>
      </c>
      <c r="H9" s="6">
        <f>+VLOOKUP($B9,'Umsatz ACT'!$C:$P,H$1,FALSE)</f>
        <v>250</v>
      </c>
      <c r="I9" s="6">
        <f>+VLOOKUP($B9,'Umsatz ACT'!$C:$P,I$1,FALSE)</f>
        <v>250</v>
      </c>
      <c r="J9" s="6">
        <f>+VLOOKUP($B9,'Umsatz ACT'!$C:$P,J$1,FALSE)</f>
        <v>230</v>
      </c>
      <c r="K9" s="6">
        <f>+VLOOKUP($B9,'Umsatz ACT'!$C:$P,K$1,FALSE)</f>
        <v>230</v>
      </c>
      <c r="L9" s="6">
        <f>+VLOOKUP($B9,'Umsatz ACT'!$C:$P,L$1,FALSE)</f>
        <v>0</v>
      </c>
      <c r="M9" s="6">
        <f>+VLOOKUP($B9,'Umsatz ACT'!$C:$P,M$1,FALSE)</f>
        <v>0</v>
      </c>
      <c r="N9" s="6">
        <f>+VLOOKUP($B9,'Umsatz ACT'!$C:$P,N$1,FALSE)</f>
        <v>0</v>
      </c>
      <c r="O9" s="6">
        <f>+VLOOKUP($B9,'Umsatz ACT'!$C:$P,O$1,FALSE)</f>
        <v>0</v>
      </c>
      <c r="P9" s="6">
        <f>+VLOOKUP($B9,'Umsatz ACT'!$C:$P,P$1,FALSE)</f>
        <v>0</v>
      </c>
    </row>
    <row r="10" spans="1:16" s="2" customFormat="1" ht="13.5" customHeight="1">
      <c r="A10" s="2" t="s">
        <v>17</v>
      </c>
      <c r="B10" s="2" t="s">
        <v>33</v>
      </c>
      <c r="C10" s="2" t="str">
        <f>+VLOOKUP(Tabelle3538[[#This Row],[Company]],'Drop Downs'!A:B,2,FALSE)</f>
        <v>Europe</v>
      </c>
      <c r="D10" s="2" t="s">
        <v>89</v>
      </c>
      <c r="E10" s="6">
        <f>VLOOKUP($B10,'Umsatz PLAN'!$B:$P,'Umsatz PLAN ACT '!E$1,FALSE)</f>
        <v>300</v>
      </c>
      <c r="F10" s="6">
        <f>VLOOKUP($B10,'Umsatz PLAN'!$B:$P,'Umsatz PLAN ACT '!F$1,FALSE)</f>
        <v>301.49999999999994</v>
      </c>
      <c r="G10" s="6">
        <f>VLOOKUP($B10,'Umsatz PLAN'!$B:$P,'Umsatz PLAN ACT '!G$1,FALSE)</f>
        <v>303.00749999999994</v>
      </c>
      <c r="H10" s="6">
        <f>VLOOKUP($B10,'Umsatz PLAN'!$B:$P,'Umsatz PLAN ACT '!H$1,FALSE)</f>
        <v>304.52253749999988</v>
      </c>
      <c r="I10" s="6">
        <f>VLOOKUP($B10,'Umsatz PLAN'!$B:$P,'Umsatz PLAN ACT '!I$1,FALSE)</f>
        <v>306.04515018749987</v>
      </c>
      <c r="J10" s="6">
        <f>VLOOKUP($B10,'Umsatz PLAN'!$B:$P,'Umsatz PLAN ACT '!J$1,FALSE)</f>
        <v>307.57537593843733</v>
      </c>
      <c r="K10" s="6">
        <f>VLOOKUP($B10,'Umsatz PLAN'!$B:$P,'Umsatz PLAN ACT '!K$1,FALSE)</f>
        <v>309.11325281812947</v>
      </c>
      <c r="L10" s="6">
        <f>VLOOKUP($B10,'Umsatz PLAN'!$B:$P,'Umsatz PLAN ACT '!L$1,FALSE)</f>
        <v>310.65881908222008</v>
      </c>
      <c r="M10" s="6">
        <f>VLOOKUP($B10,'Umsatz PLAN'!$B:$P,'Umsatz PLAN ACT '!M$1,FALSE)</f>
        <v>312.21211317763112</v>
      </c>
      <c r="N10" s="6">
        <f>VLOOKUP($B10,'Umsatz PLAN'!$B:$P,'Umsatz PLAN ACT '!N$1,FALSE)</f>
        <v>313.77317374351924</v>
      </c>
      <c r="O10" s="6">
        <f>VLOOKUP($B10,'Umsatz PLAN'!$B:$P,'Umsatz PLAN ACT '!O$1,FALSE)</f>
        <v>315.34203961223682</v>
      </c>
      <c r="P10" s="6">
        <f>VLOOKUP($B10,'Umsatz PLAN'!$B:$P,'Umsatz PLAN ACT '!P$1,FALSE)</f>
        <v>316.91874981029798</v>
      </c>
    </row>
    <row r="11" spans="1:16" s="2" customFormat="1" ht="13.5" customHeight="1">
      <c r="A11" s="2" t="s">
        <v>17</v>
      </c>
      <c r="B11" s="2" t="s">
        <v>33</v>
      </c>
      <c r="C11" s="7" t="str">
        <f>+VLOOKUP(Tabelle3538[[#This Row],[Company]],'Drop Downs'!A:B,2,FALSE)</f>
        <v>Europe</v>
      </c>
      <c r="D11" s="7" t="s">
        <v>90</v>
      </c>
      <c r="E11" s="6">
        <f>+VLOOKUP($B11,'Umsatz ACT'!$C:$P,E$1,FALSE)</f>
        <v>300</v>
      </c>
      <c r="F11" s="6">
        <f>+VLOOKUP($B11,'Umsatz ACT'!$C:$P,F$1,FALSE)</f>
        <v>300</v>
      </c>
      <c r="G11" s="6">
        <f>+VLOOKUP($B11,'Umsatz ACT'!$C:$P,G$1,FALSE)</f>
        <v>300</v>
      </c>
      <c r="H11" s="6">
        <f>+VLOOKUP($B11,'Umsatz ACT'!$C:$P,H$1,FALSE)</f>
        <v>300</v>
      </c>
      <c r="I11" s="6">
        <f>+VLOOKUP($B11,'Umsatz ACT'!$C:$P,I$1,FALSE)</f>
        <v>300</v>
      </c>
      <c r="J11" s="6">
        <f>+VLOOKUP($B11,'Umsatz ACT'!$C:$P,J$1,FALSE)</f>
        <v>290</v>
      </c>
      <c r="K11" s="6">
        <f>+VLOOKUP($B11,'Umsatz ACT'!$C:$P,K$1,FALSE)</f>
        <v>290</v>
      </c>
      <c r="L11" s="6">
        <f>+VLOOKUP($B11,'Umsatz ACT'!$C:$P,L$1,FALSE)</f>
        <v>0</v>
      </c>
      <c r="M11" s="6">
        <f>+VLOOKUP($B11,'Umsatz ACT'!$C:$P,M$1,FALSE)</f>
        <v>0</v>
      </c>
      <c r="N11" s="6">
        <f>+VLOOKUP($B11,'Umsatz ACT'!$C:$P,N$1,FALSE)</f>
        <v>0</v>
      </c>
      <c r="O11" s="6">
        <f>+VLOOKUP($B11,'Umsatz ACT'!$C:$P,O$1,FALSE)</f>
        <v>0</v>
      </c>
      <c r="P11" s="6">
        <f>+VLOOKUP($B11,'Umsatz ACT'!$C:$P,P$1,FALSE)</f>
        <v>0</v>
      </c>
    </row>
    <row r="12" spans="1:16" s="2" customFormat="1" ht="13.5" customHeight="1">
      <c r="A12" s="2" t="s">
        <v>18</v>
      </c>
      <c r="B12" s="2" t="s">
        <v>34</v>
      </c>
      <c r="C12" s="2" t="str">
        <f>+VLOOKUP(Tabelle3538[[#This Row],[Company]],'Drop Downs'!A:B,2,FALSE)</f>
        <v>Europe</v>
      </c>
      <c r="D12" s="2" t="s">
        <v>89</v>
      </c>
      <c r="E12" s="6">
        <f>VLOOKUP($B12,'Umsatz PLAN'!$B:$P,'Umsatz PLAN ACT '!E$1,FALSE)</f>
        <v>300</v>
      </c>
      <c r="F12" s="6">
        <f>VLOOKUP($B12,'Umsatz PLAN'!$B:$P,'Umsatz PLAN ACT '!F$1,FALSE)</f>
        <v>301.49999999999994</v>
      </c>
      <c r="G12" s="6">
        <f>VLOOKUP($B12,'Umsatz PLAN'!$B:$P,'Umsatz PLAN ACT '!G$1,FALSE)</f>
        <v>303.00749999999994</v>
      </c>
      <c r="H12" s="6">
        <f>VLOOKUP($B12,'Umsatz PLAN'!$B:$P,'Umsatz PLAN ACT '!H$1,FALSE)</f>
        <v>304.52253749999988</v>
      </c>
      <c r="I12" s="6">
        <f>VLOOKUP($B12,'Umsatz PLAN'!$B:$P,'Umsatz PLAN ACT '!I$1,FALSE)</f>
        <v>306.04515018749987</v>
      </c>
      <c r="J12" s="6">
        <f>VLOOKUP($B12,'Umsatz PLAN'!$B:$P,'Umsatz PLAN ACT '!J$1,FALSE)</f>
        <v>307.57537593843733</v>
      </c>
      <c r="K12" s="6">
        <f>VLOOKUP($B12,'Umsatz PLAN'!$B:$P,'Umsatz PLAN ACT '!K$1,FALSE)</f>
        <v>309.11325281812947</v>
      </c>
      <c r="L12" s="6">
        <f>VLOOKUP($B12,'Umsatz PLAN'!$B:$P,'Umsatz PLAN ACT '!L$1,FALSE)</f>
        <v>310.65881908222008</v>
      </c>
      <c r="M12" s="6">
        <f>VLOOKUP($B12,'Umsatz PLAN'!$B:$P,'Umsatz PLAN ACT '!M$1,FALSE)</f>
        <v>312.21211317763112</v>
      </c>
      <c r="N12" s="6">
        <f>VLOOKUP($B12,'Umsatz PLAN'!$B:$P,'Umsatz PLAN ACT '!N$1,FALSE)</f>
        <v>313.77317374351924</v>
      </c>
      <c r="O12" s="6">
        <f>VLOOKUP($B12,'Umsatz PLAN'!$B:$P,'Umsatz PLAN ACT '!O$1,FALSE)</f>
        <v>315.34203961223682</v>
      </c>
      <c r="P12" s="6">
        <f>VLOOKUP($B12,'Umsatz PLAN'!$B:$P,'Umsatz PLAN ACT '!P$1,FALSE)</f>
        <v>316.91874981029798</v>
      </c>
    </row>
    <row r="13" spans="1:16" s="2" customFormat="1" ht="13.5" customHeight="1">
      <c r="A13" s="2" t="s">
        <v>18</v>
      </c>
      <c r="B13" s="2" t="s">
        <v>34</v>
      </c>
      <c r="C13" s="7" t="str">
        <f>+VLOOKUP(Tabelle3538[[#This Row],[Company]],'Drop Downs'!A:B,2,FALSE)</f>
        <v>Europe</v>
      </c>
      <c r="D13" s="7" t="s">
        <v>90</v>
      </c>
      <c r="E13" s="6">
        <f>+VLOOKUP($B13,'Umsatz ACT'!$C:$P,E$1,FALSE)</f>
        <v>300</v>
      </c>
      <c r="F13" s="6">
        <f>+VLOOKUP($B13,'Umsatz ACT'!$C:$P,F$1,FALSE)</f>
        <v>290</v>
      </c>
      <c r="G13" s="6">
        <f>+VLOOKUP($B13,'Umsatz ACT'!$C:$P,G$1,FALSE)</f>
        <v>290</v>
      </c>
      <c r="H13" s="6">
        <f>+VLOOKUP($B13,'Umsatz ACT'!$C:$P,H$1,FALSE)</f>
        <v>280</v>
      </c>
      <c r="I13" s="6">
        <f>+VLOOKUP($B13,'Umsatz ACT'!$C:$P,I$1,FALSE)</f>
        <v>280</v>
      </c>
      <c r="J13" s="6">
        <f>+VLOOKUP($B13,'Umsatz ACT'!$C:$P,J$1,FALSE)</f>
        <v>270</v>
      </c>
      <c r="K13" s="6">
        <f>+VLOOKUP($B13,'Umsatz ACT'!$C:$P,K$1,FALSE)</f>
        <v>270</v>
      </c>
      <c r="L13" s="6">
        <f>+VLOOKUP($B13,'Umsatz ACT'!$C:$P,L$1,FALSE)</f>
        <v>0</v>
      </c>
      <c r="M13" s="6">
        <f>+VLOOKUP($B13,'Umsatz ACT'!$C:$P,M$1,FALSE)</f>
        <v>0</v>
      </c>
      <c r="N13" s="6">
        <f>+VLOOKUP($B13,'Umsatz ACT'!$C:$P,N$1,FALSE)</f>
        <v>0</v>
      </c>
      <c r="O13" s="6">
        <f>+VLOOKUP($B13,'Umsatz ACT'!$C:$P,O$1,FALSE)</f>
        <v>0</v>
      </c>
      <c r="P13" s="6">
        <f>+VLOOKUP($B13,'Umsatz ACT'!$C:$P,P$1,FALSE)</f>
        <v>0</v>
      </c>
    </row>
    <row r="14" spans="1:16" s="2" customFormat="1" ht="13.5" customHeight="1">
      <c r="A14" s="2" t="s">
        <v>18</v>
      </c>
      <c r="B14" s="2" t="s">
        <v>35</v>
      </c>
      <c r="C14" s="7" t="str">
        <f>+VLOOKUP(Tabelle3538[[#This Row],[Company]],'Drop Downs'!A:B,2,FALSE)</f>
        <v>Europe</v>
      </c>
      <c r="D14" s="2" t="s">
        <v>89</v>
      </c>
      <c r="E14" s="6">
        <f>VLOOKUP($B14,'Umsatz PLAN'!$B:$P,'Umsatz PLAN ACT '!E$1,FALSE)</f>
        <v>20</v>
      </c>
      <c r="F14" s="6">
        <f>VLOOKUP($B14,'Umsatz PLAN'!$B:$P,'Umsatz PLAN ACT '!F$1,FALSE)</f>
        <v>20.099999999999998</v>
      </c>
      <c r="G14" s="6">
        <f>VLOOKUP($B14,'Umsatz PLAN'!$B:$P,'Umsatz PLAN ACT '!G$1,FALSE)</f>
        <v>20.200499999999995</v>
      </c>
      <c r="H14" s="6">
        <f>VLOOKUP($B14,'Umsatz PLAN'!$B:$P,'Umsatz PLAN ACT '!H$1,FALSE)</f>
        <v>20.301502499999991</v>
      </c>
      <c r="I14" s="6">
        <f>VLOOKUP($B14,'Umsatz PLAN'!$B:$P,'Umsatz PLAN ACT '!I$1,FALSE)</f>
        <v>20.40301001249999</v>
      </c>
      <c r="J14" s="6">
        <f>VLOOKUP($B14,'Umsatz PLAN'!$B:$P,'Umsatz PLAN ACT '!J$1,FALSE)</f>
        <v>20.505025062562488</v>
      </c>
      <c r="K14" s="6">
        <f>VLOOKUP($B14,'Umsatz PLAN'!$B:$P,'Umsatz PLAN ACT '!K$1,FALSE)</f>
        <v>20.607550187875297</v>
      </c>
      <c r="L14" s="6">
        <f>VLOOKUP($B14,'Umsatz PLAN'!$B:$P,'Umsatz PLAN ACT '!L$1,FALSE)</f>
        <v>20.710587938814673</v>
      </c>
      <c r="M14" s="6">
        <f>VLOOKUP($B14,'Umsatz PLAN'!$B:$P,'Umsatz PLAN ACT '!M$1,FALSE)</f>
        <v>20.814140878508745</v>
      </c>
      <c r="N14" s="6">
        <f>VLOOKUP($B14,'Umsatz PLAN'!$B:$P,'Umsatz PLAN ACT '!N$1,FALSE)</f>
        <v>20.918211582901286</v>
      </c>
      <c r="O14" s="6">
        <f>VLOOKUP($B14,'Umsatz PLAN'!$B:$P,'Umsatz PLAN ACT '!O$1,FALSE)</f>
        <v>21.02280264081579</v>
      </c>
      <c r="P14" s="6">
        <f>VLOOKUP($B14,'Umsatz PLAN'!$B:$P,'Umsatz PLAN ACT '!P$1,FALSE)</f>
        <v>21.127916654019867</v>
      </c>
    </row>
    <row r="15" spans="1:16" s="2" customFormat="1" ht="13.5" customHeight="1">
      <c r="A15" s="2" t="s">
        <v>18</v>
      </c>
      <c r="B15" s="2" t="s">
        <v>35</v>
      </c>
      <c r="C15" s="7" t="str">
        <f>+VLOOKUP(Tabelle3538[[#This Row],[Company]],'Drop Downs'!A:B,2,FALSE)</f>
        <v>Europe</v>
      </c>
      <c r="D15" s="7" t="s">
        <v>90</v>
      </c>
      <c r="E15" s="6">
        <f>+VLOOKUP($B15,'Umsatz ACT'!$C:$P,E$1,FALSE)</f>
        <v>20</v>
      </c>
      <c r="F15" s="6">
        <f>+VLOOKUP($B15,'Umsatz ACT'!$C:$P,F$1,FALSE)</f>
        <v>20</v>
      </c>
      <c r="G15" s="6">
        <f>+VLOOKUP($B15,'Umsatz ACT'!$C:$P,G$1,FALSE)</f>
        <v>20</v>
      </c>
      <c r="H15" s="6">
        <f>+VLOOKUP($B15,'Umsatz ACT'!$C:$P,H$1,FALSE)</f>
        <v>20</v>
      </c>
      <c r="I15" s="6">
        <f>+VLOOKUP($B15,'Umsatz ACT'!$C:$P,I$1,FALSE)</f>
        <v>20</v>
      </c>
      <c r="J15" s="6">
        <f>+VLOOKUP($B15,'Umsatz ACT'!$C:$P,J$1,FALSE)</f>
        <v>10</v>
      </c>
      <c r="K15" s="6">
        <f>+VLOOKUP($B15,'Umsatz ACT'!$C:$P,K$1,FALSE)</f>
        <v>10</v>
      </c>
      <c r="L15" s="6">
        <f>+VLOOKUP($B15,'Umsatz ACT'!$C:$P,L$1,FALSE)</f>
        <v>0</v>
      </c>
      <c r="M15" s="6">
        <f>+VLOOKUP($B15,'Umsatz ACT'!$C:$P,M$1,FALSE)</f>
        <v>0</v>
      </c>
      <c r="N15" s="6">
        <f>+VLOOKUP($B15,'Umsatz ACT'!$C:$P,N$1,FALSE)</f>
        <v>0</v>
      </c>
      <c r="O15" s="6">
        <f>+VLOOKUP($B15,'Umsatz ACT'!$C:$P,O$1,FALSE)</f>
        <v>0</v>
      </c>
      <c r="P15" s="6">
        <f>+VLOOKUP($B15,'Umsatz ACT'!$C:$P,P$1,FALSE)</f>
        <v>0</v>
      </c>
    </row>
    <row r="16" spans="1:16" s="2" customFormat="1" ht="13.5" customHeight="1">
      <c r="A16" s="2" t="s">
        <v>18</v>
      </c>
      <c r="B16" s="2" t="s">
        <v>36</v>
      </c>
      <c r="C16" s="7" t="str">
        <f>+VLOOKUP(Tabelle3538[[#This Row],[Company]],'Drop Downs'!A:B,2,FALSE)</f>
        <v>Europe</v>
      </c>
      <c r="D16" s="2" t="s">
        <v>89</v>
      </c>
      <c r="E16" s="6">
        <f>VLOOKUP($B16,'Umsatz PLAN'!$B:$P,'Umsatz PLAN ACT '!E$1,FALSE)</f>
        <v>300</v>
      </c>
      <c r="F16" s="6">
        <f>VLOOKUP($B16,'Umsatz PLAN'!$B:$P,'Umsatz PLAN ACT '!F$1,FALSE)</f>
        <v>301.49999999999994</v>
      </c>
      <c r="G16" s="6">
        <f>VLOOKUP($B16,'Umsatz PLAN'!$B:$P,'Umsatz PLAN ACT '!G$1,FALSE)</f>
        <v>303.00749999999994</v>
      </c>
      <c r="H16" s="6">
        <f>VLOOKUP($B16,'Umsatz PLAN'!$B:$P,'Umsatz PLAN ACT '!H$1,FALSE)</f>
        <v>304.52253749999988</v>
      </c>
      <c r="I16" s="6">
        <f>VLOOKUP($B16,'Umsatz PLAN'!$B:$P,'Umsatz PLAN ACT '!I$1,FALSE)</f>
        <v>306.04515018749987</v>
      </c>
      <c r="J16" s="6">
        <f>VLOOKUP($B16,'Umsatz PLAN'!$B:$P,'Umsatz PLAN ACT '!J$1,FALSE)</f>
        <v>307.57537593843733</v>
      </c>
      <c r="K16" s="6">
        <f>VLOOKUP($B16,'Umsatz PLAN'!$B:$P,'Umsatz PLAN ACT '!K$1,FALSE)</f>
        <v>309.11325281812947</v>
      </c>
      <c r="L16" s="6">
        <f>VLOOKUP($B16,'Umsatz PLAN'!$B:$P,'Umsatz PLAN ACT '!L$1,FALSE)</f>
        <v>310.65881908222008</v>
      </c>
      <c r="M16" s="6">
        <f>VLOOKUP($B16,'Umsatz PLAN'!$B:$P,'Umsatz PLAN ACT '!M$1,FALSE)</f>
        <v>312.21211317763112</v>
      </c>
      <c r="N16" s="6">
        <f>VLOOKUP($B16,'Umsatz PLAN'!$B:$P,'Umsatz PLAN ACT '!N$1,FALSE)</f>
        <v>313.77317374351924</v>
      </c>
      <c r="O16" s="6">
        <f>VLOOKUP($B16,'Umsatz PLAN'!$B:$P,'Umsatz PLAN ACT '!O$1,FALSE)</f>
        <v>315.34203961223682</v>
      </c>
      <c r="P16" s="6">
        <f>VLOOKUP($B16,'Umsatz PLAN'!$B:$P,'Umsatz PLAN ACT '!P$1,FALSE)</f>
        <v>316.91874981029798</v>
      </c>
    </row>
    <row r="17" spans="1:16" s="2" customFormat="1" ht="13.5" customHeight="1">
      <c r="A17" s="2" t="s">
        <v>18</v>
      </c>
      <c r="B17" s="2" t="s">
        <v>36</v>
      </c>
      <c r="C17" s="7" t="str">
        <f>+VLOOKUP(Tabelle3538[[#This Row],[Company]],'Drop Downs'!A:B,2,FALSE)</f>
        <v>Europe</v>
      </c>
      <c r="D17" s="7" t="s">
        <v>90</v>
      </c>
      <c r="E17" s="6">
        <f>+VLOOKUP($B17,'Umsatz ACT'!$C:$P,E$1,FALSE)</f>
        <v>300</v>
      </c>
      <c r="F17" s="6">
        <f>+VLOOKUP($B17,'Umsatz ACT'!$C:$P,F$1,FALSE)</f>
        <v>300</v>
      </c>
      <c r="G17" s="6">
        <f>+VLOOKUP($B17,'Umsatz ACT'!$C:$P,G$1,FALSE)</f>
        <v>300</v>
      </c>
      <c r="H17" s="6">
        <f>+VLOOKUP($B17,'Umsatz ACT'!$C:$P,H$1,FALSE)</f>
        <v>300</v>
      </c>
      <c r="I17" s="6">
        <f>+VLOOKUP($B17,'Umsatz ACT'!$C:$P,I$1,FALSE)</f>
        <v>300</v>
      </c>
      <c r="J17" s="6">
        <f>+VLOOKUP($B17,'Umsatz ACT'!$C:$P,J$1,FALSE)</f>
        <v>280</v>
      </c>
      <c r="K17" s="6">
        <f>+VLOOKUP($B17,'Umsatz ACT'!$C:$P,K$1,FALSE)</f>
        <v>280</v>
      </c>
      <c r="L17" s="6">
        <f>+VLOOKUP($B17,'Umsatz ACT'!$C:$P,L$1,FALSE)</f>
        <v>0</v>
      </c>
      <c r="M17" s="6">
        <f>+VLOOKUP($B17,'Umsatz ACT'!$C:$P,M$1,FALSE)</f>
        <v>0</v>
      </c>
      <c r="N17" s="6">
        <f>+VLOOKUP($B17,'Umsatz ACT'!$C:$P,N$1,FALSE)</f>
        <v>0</v>
      </c>
      <c r="O17" s="6">
        <f>+VLOOKUP($B17,'Umsatz ACT'!$C:$P,O$1,FALSE)</f>
        <v>0</v>
      </c>
      <c r="P17" s="6">
        <f>+VLOOKUP($B17,'Umsatz ACT'!$C:$P,P$1,FALSE)</f>
        <v>0</v>
      </c>
    </row>
    <row r="18" spans="1:16" s="2" customFormat="1" ht="13.5" customHeight="1">
      <c r="A18" s="2" t="s">
        <v>19</v>
      </c>
      <c r="B18" s="2" t="s">
        <v>30</v>
      </c>
      <c r="C18" s="2" t="str">
        <f>+VLOOKUP(Tabelle3538[[#This Row],[Company]],'Drop Downs'!A:B,2,FALSE)</f>
        <v>Americas</v>
      </c>
      <c r="D18" s="2" t="s">
        <v>89</v>
      </c>
      <c r="E18" s="6">
        <f>VLOOKUP($B18,'Umsatz PLAN'!$B:$P,'Umsatz PLAN ACT '!E$1,FALSE)</f>
        <v>250</v>
      </c>
      <c r="F18" s="6">
        <f>VLOOKUP($B18,'Umsatz PLAN'!$B:$P,'Umsatz PLAN ACT '!F$1,FALSE)</f>
        <v>251.24999999999997</v>
      </c>
      <c r="G18" s="6">
        <f>VLOOKUP($B18,'Umsatz PLAN'!$B:$P,'Umsatz PLAN ACT '!G$1,FALSE)</f>
        <v>252.50624999999994</v>
      </c>
      <c r="H18" s="6">
        <f>VLOOKUP($B18,'Umsatz PLAN'!$B:$P,'Umsatz PLAN ACT '!H$1,FALSE)</f>
        <v>253.7687812499999</v>
      </c>
      <c r="I18" s="6">
        <f>VLOOKUP($B18,'Umsatz PLAN'!$B:$P,'Umsatz PLAN ACT '!I$1,FALSE)</f>
        <v>255.03762515624987</v>
      </c>
      <c r="J18" s="6">
        <f>VLOOKUP($B18,'Umsatz PLAN'!$B:$P,'Umsatz PLAN ACT '!J$1,FALSE)</f>
        <v>256.31281328203107</v>
      </c>
      <c r="K18" s="6">
        <f>VLOOKUP($B18,'Umsatz PLAN'!$B:$P,'Umsatz PLAN ACT '!K$1,FALSE)</f>
        <v>257.59437734844118</v>
      </c>
      <c r="L18" s="6">
        <f>VLOOKUP($B18,'Umsatz PLAN'!$B:$P,'Umsatz PLAN ACT '!L$1,FALSE)</f>
        <v>258.88234923518337</v>
      </c>
      <c r="M18" s="6">
        <f>VLOOKUP($B18,'Umsatz PLAN'!$B:$P,'Umsatz PLAN ACT '!M$1,FALSE)</f>
        <v>260.17676098135928</v>
      </c>
      <c r="N18" s="6">
        <f>VLOOKUP($B18,'Umsatz PLAN'!$B:$P,'Umsatz PLAN ACT '!N$1,FALSE)</f>
        <v>261.47764478626607</v>
      </c>
      <c r="O18" s="6">
        <f>VLOOKUP($B18,'Umsatz PLAN'!$B:$P,'Umsatz PLAN ACT '!O$1,FALSE)</f>
        <v>262.78503301019737</v>
      </c>
      <c r="P18" s="6">
        <f>VLOOKUP($B18,'Umsatz PLAN'!$B:$P,'Umsatz PLAN ACT '!P$1,FALSE)</f>
        <v>264.0989581752483</v>
      </c>
    </row>
    <row r="19" spans="1:16" s="2" customFormat="1" ht="13.5" customHeight="1">
      <c r="A19" s="2" t="s">
        <v>19</v>
      </c>
      <c r="B19" s="2" t="s">
        <v>30</v>
      </c>
      <c r="C19" s="7" t="str">
        <f>+VLOOKUP(Tabelle3538[[#This Row],[Company]],'Drop Downs'!A:B,2,FALSE)</f>
        <v>Americas</v>
      </c>
      <c r="D19" s="7" t="s">
        <v>90</v>
      </c>
      <c r="E19" s="6">
        <f>+VLOOKUP($B19,'Umsatz ACT'!$C:$P,E$1,FALSE)</f>
        <v>250</v>
      </c>
      <c r="F19" s="6">
        <f>+VLOOKUP($B19,'Umsatz ACT'!$C:$P,F$1,FALSE)</f>
        <v>250</v>
      </c>
      <c r="G19" s="6">
        <f>+VLOOKUP($B19,'Umsatz ACT'!$C:$P,G$1,FALSE)</f>
        <v>250</v>
      </c>
      <c r="H19" s="6">
        <f>+VLOOKUP($B19,'Umsatz ACT'!$C:$P,H$1,FALSE)</f>
        <v>250</v>
      </c>
      <c r="I19" s="6">
        <f>+VLOOKUP($B19,'Umsatz ACT'!$C:$P,I$1,FALSE)</f>
        <v>250</v>
      </c>
      <c r="J19" s="6">
        <f>+VLOOKUP($B19,'Umsatz ACT'!$C:$P,J$1,FALSE)</f>
        <v>240</v>
      </c>
      <c r="K19" s="6">
        <f>+VLOOKUP($B19,'Umsatz ACT'!$C:$P,K$1,FALSE)</f>
        <v>240</v>
      </c>
      <c r="L19" s="6">
        <f>+VLOOKUP($B19,'Umsatz ACT'!$C:$P,L$1,FALSE)</f>
        <v>0</v>
      </c>
      <c r="M19" s="6">
        <f>+VLOOKUP($B19,'Umsatz ACT'!$C:$P,M$1,FALSE)</f>
        <v>0</v>
      </c>
      <c r="N19" s="6">
        <f>+VLOOKUP($B19,'Umsatz ACT'!$C:$P,N$1,FALSE)</f>
        <v>0</v>
      </c>
      <c r="O19" s="6">
        <f>+VLOOKUP($B19,'Umsatz ACT'!$C:$P,O$1,FALSE)</f>
        <v>0</v>
      </c>
      <c r="P19" s="6">
        <f>+VLOOKUP($B19,'Umsatz ACT'!$C:$P,P$1,FALSE)</f>
        <v>0</v>
      </c>
    </row>
    <row r="20" spans="1:16" s="2" customFormat="1" ht="13.5" customHeight="1">
      <c r="A20" s="2" t="s">
        <v>20</v>
      </c>
      <c r="B20" s="2" t="s">
        <v>37</v>
      </c>
      <c r="C20" s="2" t="str">
        <f>+VLOOKUP(Tabelle3538[[#This Row],[Company]],'Drop Downs'!A:B,2,FALSE)</f>
        <v>Americas</v>
      </c>
      <c r="D20" s="2" t="s">
        <v>89</v>
      </c>
      <c r="E20" s="6">
        <f>VLOOKUP($B20,'Umsatz PLAN'!$B:$P,'Umsatz PLAN ACT '!E$1,FALSE)</f>
        <v>250</v>
      </c>
      <c r="F20" s="6">
        <f>VLOOKUP($B20,'Umsatz PLAN'!$B:$P,'Umsatz PLAN ACT '!F$1,FALSE)</f>
        <v>251.24999999999997</v>
      </c>
      <c r="G20" s="6">
        <f>VLOOKUP($B20,'Umsatz PLAN'!$B:$P,'Umsatz PLAN ACT '!G$1,FALSE)</f>
        <v>252.50624999999994</v>
      </c>
      <c r="H20" s="6">
        <f>VLOOKUP($B20,'Umsatz PLAN'!$B:$P,'Umsatz PLAN ACT '!H$1,FALSE)</f>
        <v>253.7687812499999</v>
      </c>
      <c r="I20" s="6">
        <f>VLOOKUP($B20,'Umsatz PLAN'!$B:$P,'Umsatz PLAN ACT '!I$1,FALSE)</f>
        <v>255.03762515624987</v>
      </c>
      <c r="J20" s="6">
        <f>VLOOKUP($B20,'Umsatz PLAN'!$B:$P,'Umsatz PLAN ACT '!J$1,FALSE)</f>
        <v>256.31281328203107</v>
      </c>
      <c r="K20" s="6">
        <f>VLOOKUP($B20,'Umsatz PLAN'!$B:$P,'Umsatz PLAN ACT '!K$1,FALSE)</f>
        <v>257.59437734844118</v>
      </c>
      <c r="L20" s="6">
        <f>VLOOKUP($B20,'Umsatz PLAN'!$B:$P,'Umsatz PLAN ACT '!L$1,FALSE)</f>
        <v>258.88234923518337</v>
      </c>
      <c r="M20" s="6">
        <f>VLOOKUP($B20,'Umsatz PLAN'!$B:$P,'Umsatz PLAN ACT '!M$1,FALSE)</f>
        <v>260.17676098135928</v>
      </c>
      <c r="N20" s="6">
        <f>VLOOKUP($B20,'Umsatz PLAN'!$B:$P,'Umsatz PLAN ACT '!N$1,FALSE)</f>
        <v>261.47764478626607</v>
      </c>
      <c r="O20" s="6">
        <f>VLOOKUP($B20,'Umsatz PLAN'!$B:$P,'Umsatz PLAN ACT '!O$1,FALSE)</f>
        <v>262.78503301019737</v>
      </c>
      <c r="P20" s="6">
        <f>VLOOKUP($B20,'Umsatz PLAN'!$B:$P,'Umsatz PLAN ACT '!P$1,FALSE)</f>
        <v>264.0989581752483</v>
      </c>
    </row>
    <row r="21" spans="1:16" s="2" customFormat="1" ht="13.5" customHeight="1">
      <c r="A21" s="2" t="s">
        <v>20</v>
      </c>
      <c r="B21" s="2" t="s">
        <v>37</v>
      </c>
      <c r="C21" s="7" t="str">
        <f>+VLOOKUP(Tabelle3538[[#This Row],[Company]],'Drop Downs'!A:B,2,FALSE)</f>
        <v>Americas</v>
      </c>
      <c r="D21" s="7" t="s">
        <v>90</v>
      </c>
      <c r="E21" s="6">
        <f>+VLOOKUP($B21,'Umsatz ACT'!$C:$P,E$1,FALSE)</f>
        <v>250</v>
      </c>
      <c r="F21" s="6">
        <f>+VLOOKUP($B21,'Umsatz ACT'!$C:$P,F$1,FALSE)</f>
        <v>250</v>
      </c>
      <c r="G21" s="6">
        <f>+VLOOKUP($B21,'Umsatz ACT'!$C:$P,G$1,FALSE)</f>
        <v>250</v>
      </c>
      <c r="H21" s="6">
        <f>+VLOOKUP($B21,'Umsatz ACT'!$C:$P,H$1,FALSE)</f>
        <v>250</v>
      </c>
      <c r="I21" s="6">
        <f>+VLOOKUP($B21,'Umsatz ACT'!$C:$P,I$1,FALSE)</f>
        <v>250</v>
      </c>
      <c r="J21" s="6">
        <f>+VLOOKUP($B21,'Umsatz ACT'!$C:$P,J$1,FALSE)</f>
        <v>240</v>
      </c>
      <c r="K21" s="6">
        <f>+VLOOKUP($B21,'Umsatz ACT'!$C:$P,K$1,FALSE)</f>
        <v>240</v>
      </c>
      <c r="L21" s="6">
        <f>+VLOOKUP($B21,'Umsatz ACT'!$C:$P,L$1,FALSE)</f>
        <v>0</v>
      </c>
      <c r="M21" s="6">
        <f>+VLOOKUP($B21,'Umsatz ACT'!$C:$P,M$1,FALSE)</f>
        <v>0</v>
      </c>
      <c r="N21" s="6">
        <f>+VLOOKUP($B21,'Umsatz ACT'!$C:$P,N$1,FALSE)</f>
        <v>0</v>
      </c>
      <c r="O21" s="6">
        <f>+VLOOKUP($B21,'Umsatz ACT'!$C:$P,O$1,FALSE)</f>
        <v>0</v>
      </c>
      <c r="P21" s="6">
        <f>+VLOOKUP($B21,'Umsatz ACT'!$C:$P,P$1,FALSE)</f>
        <v>0</v>
      </c>
    </row>
    <row r="22" spans="1:16" s="2" customFormat="1" ht="13.5" customHeight="1">
      <c r="A22" s="2" t="s">
        <v>21</v>
      </c>
      <c r="B22" s="2" t="s">
        <v>38</v>
      </c>
      <c r="C22" s="2" t="str">
        <f>+VLOOKUP(Tabelle3538[[#This Row],[Company]],'Drop Downs'!A:B,2,FALSE)</f>
        <v>Asia</v>
      </c>
      <c r="D22" s="2" t="s">
        <v>89</v>
      </c>
      <c r="E22" s="6">
        <f>VLOOKUP($B22,'Umsatz PLAN'!$B:$P,'Umsatz PLAN ACT '!E$1,FALSE)</f>
        <v>100</v>
      </c>
      <c r="F22" s="6">
        <f>VLOOKUP($B22,'Umsatz PLAN'!$B:$P,'Umsatz PLAN ACT '!F$1,FALSE)</f>
        <v>100.49999999999999</v>
      </c>
      <c r="G22" s="6">
        <f>VLOOKUP($B22,'Umsatz PLAN'!$B:$P,'Umsatz PLAN ACT '!G$1,FALSE)</f>
        <v>101.00249999999997</v>
      </c>
      <c r="H22" s="6">
        <f>VLOOKUP($B22,'Umsatz PLAN'!$B:$P,'Umsatz PLAN ACT '!H$1,FALSE)</f>
        <v>101.50751249999996</v>
      </c>
      <c r="I22" s="6">
        <f>VLOOKUP($B22,'Umsatz PLAN'!$B:$P,'Umsatz PLAN ACT '!I$1,FALSE)</f>
        <v>102.01505006249995</v>
      </c>
      <c r="J22" s="6">
        <f>VLOOKUP($B22,'Umsatz PLAN'!$B:$P,'Umsatz PLAN ACT '!J$1,FALSE)</f>
        <v>102.52512531281243</v>
      </c>
      <c r="K22" s="6">
        <f>VLOOKUP($B22,'Umsatz PLAN'!$B:$P,'Umsatz PLAN ACT '!K$1,FALSE)</f>
        <v>103.03775093937648</v>
      </c>
      <c r="L22" s="6">
        <f>VLOOKUP($B22,'Umsatz PLAN'!$B:$P,'Umsatz PLAN ACT '!L$1,FALSE)</f>
        <v>103.55293969407334</v>
      </c>
      <c r="M22" s="6">
        <f>VLOOKUP($B22,'Umsatz PLAN'!$B:$P,'Umsatz PLAN ACT '!M$1,FALSE)</f>
        <v>104.0707043925437</v>
      </c>
      <c r="N22" s="6">
        <f>VLOOKUP($B22,'Umsatz PLAN'!$B:$P,'Umsatz PLAN ACT '!N$1,FALSE)</f>
        <v>104.59105791450641</v>
      </c>
      <c r="O22" s="6">
        <f>VLOOKUP($B22,'Umsatz PLAN'!$B:$P,'Umsatz PLAN ACT '!O$1,FALSE)</f>
        <v>105.11401320407893</v>
      </c>
      <c r="P22" s="6">
        <f>VLOOKUP($B22,'Umsatz PLAN'!$B:$P,'Umsatz PLAN ACT '!P$1,FALSE)</f>
        <v>105.63958327009931</v>
      </c>
    </row>
    <row r="23" spans="1:16" s="2" customFormat="1" ht="13.5" customHeight="1">
      <c r="A23" s="2" t="s">
        <v>21</v>
      </c>
      <c r="B23" s="2" t="s">
        <v>38</v>
      </c>
      <c r="C23" s="7" t="str">
        <f>+VLOOKUP(Tabelle3538[[#This Row],[Company]],'Drop Downs'!A:B,2,FALSE)</f>
        <v>Asia</v>
      </c>
      <c r="D23" s="7" t="s">
        <v>90</v>
      </c>
      <c r="E23" s="6">
        <f>+VLOOKUP($B23,'Umsatz ACT'!$C:$P,E$1,FALSE)</f>
        <v>100</v>
      </c>
      <c r="F23" s="6">
        <f>+VLOOKUP($B23,'Umsatz ACT'!$C:$P,F$1,FALSE)</f>
        <v>100</v>
      </c>
      <c r="G23" s="6">
        <f>+VLOOKUP($B23,'Umsatz ACT'!$C:$P,G$1,FALSE)</f>
        <v>100</v>
      </c>
      <c r="H23" s="6">
        <f>+VLOOKUP($B23,'Umsatz ACT'!$C:$P,H$1,FALSE)</f>
        <v>100</v>
      </c>
      <c r="I23" s="6">
        <f>+VLOOKUP($B23,'Umsatz ACT'!$C:$P,I$1,FALSE)</f>
        <v>100</v>
      </c>
      <c r="J23" s="6">
        <f>+VLOOKUP($B23,'Umsatz ACT'!$C:$P,J$1,FALSE)</f>
        <v>90</v>
      </c>
      <c r="K23" s="6">
        <f>+VLOOKUP($B23,'Umsatz ACT'!$C:$P,K$1,FALSE)</f>
        <v>90</v>
      </c>
      <c r="L23" s="6">
        <f>+VLOOKUP($B23,'Umsatz ACT'!$C:$P,L$1,FALSE)</f>
        <v>0</v>
      </c>
      <c r="M23" s="6">
        <f>+VLOOKUP($B23,'Umsatz ACT'!$C:$P,M$1,FALSE)</f>
        <v>0</v>
      </c>
      <c r="N23" s="6">
        <f>+VLOOKUP($B23,'Umsatz ACT'!$C:$P,N$1,FALSE)</f>
        <v>0</v>
      </c>
      <c r="O23" s="6">
        <f>+VLOOKUP($B23,'Umsatz ACT'!$C:$P,O$1,FALSE)</f>
        <v>0</v>
      </c>
      <c r="P23" s="6">
        <f>+VLOOKUP($B23,'Umsatz ACT'!$C:$P,P$1,FALSE)</f>
        <v>0</v>
      </c>
    </row>
    <row r="24" spans="1:16" s="2" customFormat="1" ht="13.5" customHeight="1">
      <c r="A24" s="2" t="s">
        <v>21</v>
      </c>
      <c r="B24" s="2" t="s">
        <v>39</v>
      </c>
      <c r="C24" s="7" t="str">
        <f>+VLOOKUP(Tabelle3538[[#This Row],[Company]],'Drop Downs'!A:B,2,FALSE)</f>
        <v>Asia</v>
      </c>
      <c r="D24" s="2" t="s">
        <v>89</v>
      </c>
      <c r="E24" s="6">
        <f>VLOOKUP($B24,'Umsatz PLAN'!$B:$P,'Umsatz PLAN ACT '!E$1,FALSE)</f>
        <v>100</v>
      </c>
      <c r="F24" s="6">
        <f>VLOOKUP($B24,'Umsatz PLAN'!$B:$P,'Umsatz PLAN ACT '!F$1,FALSE)</f>
        <v>100.49999999999999</v>
      </c>
      <c r="G24" s="6">
        <f>VLOOKUP($B24,'Umsatz PLAN'!$B:$P,'Umsatz PLAN ACT '!G$1,FALSE)</f>
        <v>101.00249999999997</v>
      </c>
      <c r="H24" s="6">
        <f>VLOOKUP($B24,'Umsatz PLAN'!$B:$P,'Umsatz PLAN ACT '!H$1,FALSE)</f>
        <v>101.50751249999996</v>
      </c>
      <c r="I24" s="6">
        <f>VLOOKUP($B24,'Umsatz PLAN'!$B:$P,'Umsatz PLAN ACT '!I$1,FALSE)</f>
        <v>102.01505006249995</v>
      </c>
      <c r="J24" s="6">
        <f>VLOOKUP($B24,'Umsatz PLAN'!$B:$P,'Umsatz PLAN ACT '!J$1,FALSE)</f>
        <v>102.52512531281243</v>
      </c>
      <c r="K24" s="6">
        <f>VLOOKUP($B24,'Umsatz PLAN'!$B:$P,'Umsatz PLAN ACT '!K$1,FALSE)</f>
        <v>103.03775093937648</v>
      </c>
      <c r="L24" s="6">
        <f>VLOOKUP($B24,'Umsatz PLAN'!$B:$P,'Umsatz PLAN ACT '!L$1,FALSE)</f>
        <v>103.55293969407334</v>
      </c>
      <c r="M24" s="6">
        <f>VLOOKUP($B24,'Umsatz PLAN'!$B:$P,'Umsatz PLAN ACT '!M$1,FALSE)</f>
        <v>104.0707043925437</v>
      </c>
      <c r="N24" s="6">
        <f>VLOOKUP($B24,'Umsatz PLAN'!$B:$P,'Umsatz PLAN ACT '!N$1,FALSE)</f>
        <v>104.59105791450641</v>
      </c>
      <c r="O24" s="6">
        <f>VLOOKUP($B24,'Umsatz PLAN'!$B:$P,'Umsatz PLAN ACT '!O$1,FALSE)</f>
        <v>105.11401320407893</v>
      </c>
      <c r="P24" s="6">
        <f>VLOOKUP($B24,'Umsatz PLAN'!$B:$P,'Umsatz PLAN ACT '!P$1,FALSE)</f>
        <v>105.63958327009931</v>
      </c>
    </row>
    <row r="25" spans="1:16" s="2" customFormat="1" ht="13.5" customHeight="1">
      <c r="A25" s="2" t="s">
        <v>21</v>
      </c>
      <c r="B25" s="2" t="s">
        <v>39</v>
      </c>
      <c r="C25" s="7" t="str">
        <f>+VLOOKUP(Tabelle3538[[#This Row],[Company]],'Drop Downs'!A:B,2,FALSE)</f>
        <v>Asia</v>
      </c>
      <c r="D25" s="7" t="s">
        <v>90</v>
      </c>
      <c r="E25" s="6">
        <f>+VLOOKUP($B25,'Umsatz ACT'!$C:$P,E$1,FALSE)</f>
        <v>100</v>
      </c>
      <c r="F25" s="6">
        <f>+VLOOKUP($B25,'Umsatz ACT'!$C:$P,F$1,FALSE)</f>
        <v>100</v>
      </c>
      <c r="G25" s="6">
        <f>+VLOOKUP($B25,'Umsatz ACT'!$C:$P,G$1,FALSE)</f>
        <v>100</v>
      </c>
      <c r="H25" s="6">
        <f>+VLOOKUP($B25,'Umsatz ACT'!$C:$P,H$1,FALSE)</f>
        <v>105</v>
      </c>
      <c r="I25" s="6">
        <f>+VLOOKUP($B25,'Umsatz ACT'!$C:$P,I$1,FALSE)</f>
        <v>105</v>
      </c>
      <c r="J25" s="6">
        <f>+VLOOKUP($B25,'Umsatz ACT'!$C:$P,J$1,FALSE)</f>
        <v>90</v>
      </c>
      <c r="K25" s="6">
        <f>+VLOOKUP($B25,'Umsatz ACT'!$C:$P,K$1,FALSE)</f>
        <v>90</v>
      </c>
      <c r="L25" s="6">
        <f>+VLOOKUP($B25,'Umsatz ACT'!$C:$P,L$1,FALSE)</f>
        <v>0</v>
      </c>
      <c r="M25" s="6">
        <f>+VLOOKUP($B25,'Umsatz ACT'!$C:$P,M$1,FALSE)</f>
        <v>0</v>
      </c>
      <c r="N25" s="6">
        <f>+VLOOKUP($B25,'Umsatz ACT'!$C:$P,N$1,FALSE)</f>
        <v>0</v>
      </c>
      <c r="O25" s="6">
        <f>+VLOOKUP($B25,'Umsatz ACT'!$C:$P,O$1,FALSE)</f>
        <v>0</v>
      </c>
      <c r="P25" s="6">
        <f>+VLOOKUP($B25,'Umsatz ACT'!$C:$P,P$1,FALSE)</f>
        <v>0</v>
      </c>
    </row>
    <row r="26" spans="1:16" s="2" customFormat="1" ht="13.5" customHeight="1">
      <c r="A26" s="2" t="s">
        <v>21</v>
      </c>
      <c r="B26" s="2" t="s">
        <v>40</v>
      </c>
      <c r="C26" s="7" t="str">
        <f>+VLOOKUP(Tabelle3538[[#This Row],[Company]],'Drop Downs'!A:B,2,FALSE)</f>
        <v>Asia</v>
      </c>
      <c r="D26" s="2" t="s">
        <v>89</v>
      </c>
      <c r="E26" s="6">
        <f>VLOOKUP($B26,'Umsatz PLAN'!$B:$P,'Umsatz PLAN ACT '!E$1,FALSE)</f>
        <v>100</v>
      </c>
      <c r="F26" s="6">
        <f>VLOOKUP($B26,'Umsatz PLAN'!$B:$P,'Umsatz PLAN ACT '!F$1,FALSE)</f>
        <v>100.49999999999999</v>
      </c>
      <c r="G26" s="6">
        <f>VLOOKUP($B26,'Umsatz PLAN'!$B:$P,'Umsatz PLAN ACT '!G$1,FALSE)</f>
        <v>101.00249999999997</v>
      </c>
      <c r="H26" s="6">
        <f>VLOOKUP($B26,'Umsatz PLAN'!$B:$P,'Umsatz PLAN ACT '!H$1,FALSE)</f>
        <v>101.50751249999996</v>
      </c>
      <c r="I26" s="6">
        <f>VLOOKUP($B26,'Umsatz PLAN'!$B:$P,'Umsatz PLAN ACT '!I$1,FALSE)</f>
        <v>102.01505006249995</v>
      </c>
      <c r="J26" s="6">
        <f>VLOOKUP($B26,'Umsatz PLAN'!$B:$P,'Umsatz PLAN ACT '!J$1,FALSE)</f>
        <v>102.52512531281243</v>
      </c>
      <c r="K26" s="6">
        <f>VLOOKUP($B26,'Umsatz PLAN'!$B:$P,'Umsatz PLAN ACT '!K$1,FALSE)</f>
        <v>103.03775093937648</v>
      </c>
      <c r="L26" s="6">
        <f>VLOOKUP($B26,'Umsatz PLAN'!$B:$P,'Umsatz PLAN ACT '!L$1,FALSE)</f>
        <v>103.55293969407334</v>
      </c>
      <c r="M26" s="6">
        <f>VLOOKUP($B26,'Umsatz PLAN'!$B:$P,'Umsatz PLAN ACT '!M$1,FALSE)</f>
        <v>104.0707043925437</v>
      </c>
      <c r="N26" s="6">
        <f>VLOOKUP($B26,'Umsatz PLAN'!$B:$P,'Umsatz PLAN ACT '!N$1,FALSE)</f>
        <v>104.59105791450641</v>
      </c>
      <c r="O26" s="6">
        <f>VLOOKUP($B26,'Umsatz PLAN'!$B:$P,'Umsatz PLAN ACT '!O$1,FALSE)</f>
        <v>105.11401320407893</v>
      </c>
      <c r="P26" s="6">
        <f>VLOOKUP($B26,'Umsatz PLAN'!$B:$P,'Umsatz PLAN ACT '!P$1,FALSE)</f>
        <v>105.63958327009931</v>
      </c>
    </row>
    <row r="27" spans="1:16" s="2" customFormat="1" ht="13.5" customHeight="1">
      <c r="A27" s="2" t="s">
        <v>21</v>
      </c>
      <c r="B27" s="2" t="s">
        <v>40</v>
      </c>
      <c r="C27" s="7" t="str">
        <f>+VLOOKUP(Tabelle3538[[#This Row],[Company]],'Drop Downs'!A:B,2,FALSE)</f>
        <v>Asia</v>
      </c>
      <c r="D27" s="7" t="s">
        <v>90</v>
      </c>
      <c r="E27" s="6">
        <f>+VLOOKUP($B27,'Umsatz ACT'!$C:$P,E$1,FALSE)</f>
        <v>100</v>
      </c>
      <c r="F27" s="6">
        <f>+VLOOKUP($B27,'Umsatz ACT'!$C:$P,F$1,FALSE)</f>
        <v>100</v>
      </c>
      <c r="G27" s="6">
        <f>+VLOOKUP($B27,'Umsatz ACT'!$C:$P,G$1,FALSE)</f>
        <v>100</v>
      </c>
      <c r="H27" s="6">
        <f>+VLOOKUP($B27,'Umsatz ACT'!$C:$P,H$1,FALSE)</f>
        <v>110</v>
      </c>
      <c r="I27" s="6">
        <f>+VLOOKUP($B27,'Umsatz ACT'!$C:$P,I$1,FALSE)</f>
        <v>115</v>
      </c>
      <c r="J27" s="6">
        <f>+VLOOKUP($B27,'Umsatz ACT'!$C:$P,J$1,FALSE)</f>
        <v>90</v>
      </c>
      <c r="K27" s="6">
        <f>+VLOOKUP($B27,'Umsatz ACT'!$C:$P,K$1,FALSE)</f>
        <v>90</v>
      </c>
      <c r="L27" s="6">
        <f>+VLOOKUP($B27,'Umsatz ACT'!$C:$P,L$1,FALSE)</f>
        <v>0</v>
      </c>
      <c r="M27" s="6">
        <f>+VLOOKUP($B27,'Umsatz ACT'!$C:$P,M$1,FALSE)</f>
        <v>0</v>
      </c>
      <c r="N27" s="6">
        <f>+VLOOKUP($B27,'Umsatz ACT'!$C:$P,N$1,FALSE)</f>
        <v>0</v>
      </c>
      <c r="O27" s="6">
        <f>+VLOOKUP($B27,'Umsatz ACT'!$C:$P,O$1,FALSE)</f>
        <v>0</v>
      </c>
      <c r="P27" s="6">
        <f>+VLOOKUP($B27,'Umsatz ACT'!$C:$P,P$1,FALSE)</f>
        <v>0</v>
      </c>
    </row>
    <row r="28" spans="1:16" s="2" customFormat="1" ht="13.5" customHeight="1">
      <c r="A28" s="2" t="s">
        <v>22</v>
      </c>
      <c r="B28" s="2" t="s">
        <v>41</v>
      </c>
      <c r="C28" s="2" t="str">
        <f>+VLOOKUP(Tabelle3538[[#This Row],[Company]],'Drop Downs'!A:B,2,FALSE)</f>
        <v>Asia</v>
      </c>
      <c r="D28" s="2" t="s">
        <v>89</v>
      </c>
      <c r="E28" s="6">
        <f>VLOOKUP($B28,'Umsatz PLAN'!$B:$P,'Umsatz PLAN ACT '!E$1,FALSE)</f>
        <v>100</v>
      </c>
      <c r="F28" s="6">
        <f>VLOOKUP($B28,'Umsatz PLAN'!$B:$P,'Umsatz PLAN ACT '!F$1,FALSE)</f>
        <v>100.49999999999999</v>
      </c>
      <c r="G28" s="6">
        <f>VLOOKUP($B28,'Umsatz PLAN'!$B:$P,'Umsatz PLAN ACT '!G$1,FALSE)</f>
        <v>101.00249999999997</v>
      </c>
      <c r="H28" s="6">
        <f>VLOOKUP($B28,'Umsatz PLAN'!$B:$P,'Umsatz PLAN ACT '!H$1,FALSE)</f>
        <v>101.50751249999996</v>
      </c>
      <c r="I28" s="6">
        <f>VLOOKUP($B28,'Umsatz PLAN'!$B:$P,'Umsatz PLAN ACT '!I$1,FALSE)</f>
        <v>102.01505006249995</v>
      </c>
      <c r="J28" s="6">
        <f>VLOOKUP($B28,'Umsatz PLAN'!$B:$P,'Umsatz PLAN ACT '!J$1,FALSE)</f>
        <v>102.52512531281243</v>
      </c>
      <c r="K28" s="6">
        <f>VLOOKUP($B28,'Umsatz PLAN'!$B:$P,'Umsatz PLAN ACT '!K$1,FALSE)</f>
        <v>103.03775093937648</v>
      </c>
      <c r="L28" s="6">
        <f>VLOOKUP($B28,'Umsatz PLAN'!$B:$P,'Umsatz PLAN ACT '!L$1,FALSE)</f>
        <v>103.55293969407334</v>
      </c>
      <c r="M28" s="6">
        <f>VLOOKUP($B28,'Umsatz PLAN'!$B:$P,'Umsatz PLAN ACT '!M$1,FALSE)</f>
        <v>104.0707043925437</v>
      </c>
      <c r="N28" s="6">
        <f>VLOOKUP($B28,'Umsatz PLAN'!$B:$P,'Umsatz PLAN ACT '!N$1,FALSE)</f>
        <v>104.59105791450641</v>
      </c>
      <c r="O28" s="6">
        <f>VLOOKUP($B28,'Umsatz PLAN'!$B:$P,'Umsatz PLAN ACT '!O$1,FALSE)</f>
        <v>105.11401320407893</v>
      </c>
      <c r="P28" s="6">
        <f>VLOOKUP($B28,'Umsatz PLAN'!$B:$P,'Umsatz PLAN ACT '!P$1,FALSE)</f>
        <v>105.63958327009931</v>
      </c>
    </row>
    <row r="29" spans="1:16" s="2" customFormat="1" ht="13.5" customHeight="1">
      <c r="A29" s="2" t="s">
        <v>22</v>
      </c>
      <c r="B29" s="2" t="s">
        <v>41</v>
      </c>
      <c r="C29" s="7" t="str">
        <f>+VLOOKUP(Tabelle3538[[#This Row],[Company]],'Drop Downs'!A:B,2,FALSE)</f>
        <v>Asia</v>
      </c>
      <c r="D29" s="7" t="s">
        <v>90</v>
      </c>
      <c r="E29" s="6">
        <f>+VLOOKUP($B29,'Umsatz ACT'!$C:$P,E$1,FALSE)</f>
        <v>100</v>
      </c>
      <c r="F29" s="6">
        <f>+VLOOKUP($B29,'Umsatz ACT'!$C:$P,F$1,FALSE)</f>
        <v>100</v>
      </c>
      <c r="G29" s="6">
        <f>+VLOOKUP($B29,'Umsatz ACT'!$C:$P,G$1,FALSE)</f>
        <v>100</v>
      </c>
      <c r="H29" s="6">
        <f>+VLOOKUP($B29,'Umsatz ACT'!$C:$P,H$1,FALSE)</f>
        <v>100</v>
      </c>
      <c r="I29" s="6">
        <f>+VLOOKUP($B29,'Umsatz ACT'!$C:$P,I$1,FALSE)</f>
        <v>100</v>
      </c>
      <c r="J29" s="6">
        <f>+VLOOKUP($B29,'Umsatz ACT'!$C:$P,J$1,FALSE)</f>
        <v>90</v>
      </c>
      <c r="K29" s="6">
        <f>+VLOOKUP($B29,'Umsatz ACT'!$C:$P,K$1,FALSE)</f>
        <v>90</v>
      </c>
      <c r="L29" s="6">
        <f>+VLOOKUP($B29,'Umsatz ACT'!$C:$P,L$1,FALSE)</f>
        <v>0</v>
      </c>
      <c r="M29" s="6">
        <f>+VLOOKUP($B29,'Umsatz ACT'!$C:$P,M$1,FALSE)</f>
        <v>0</v>
      </c>
      <c r="N29" s="6">
        <f>+VLOOKUP($B29,'Umsatz ACT'!$C:$P,N$1,FALSE)</f>
        <v>0</v>
      </c>
      <c r="O29" s="6">
        <f>+VLOOKUP($B29,'Umsatz ACT'!$C:$P,O$1,FALSE)</f>
        <v>0</v>
      </c>
      <c r="P29" s="6">
        <f>+VLOOKUP($B29,'Umsatz ACT'!$C:$P,P$1,FALSE)</f>
        <v>0</v>
      </c>
    </row>
    <row r="30" spans="1:16">
      <c r="A30" s="17" t="s">
        <v>0</v>
      </c>
      <c r="B30" s="17"/>
      <c r="C30" s="17" t="str">
        <f>+VLOOKUP(Tabelle3538[[#This Row],[Company]],'Drop Downs'!A:B,2,FALSE)</f>
        <v>All</v>
      </c>
      <c r="D30" s="17"/>
      <c r="E30" s="17">
        <f>+SUBTOTAL(9,E4:E28)</f>
        <v>4740</v>
      </c>
      <c r="F30" s="17">
        <f>+SUBTOTAL(9,F4:F28)</f>
        <v>4737.0999999999995</v>
      </c>
      <c r="G30" s="17">
        <f t="shared" ref="G30:P30" si="0">+SUBTOTAL(9,G4:G28)</f>
        <v>4749.2604999999976</v>
      </c>
      <c r="H30" s="17">
        <f t="shared" si="0"/>
        <v>4761.4818025000004</v>
      </c>
      <c r="I30" s="17">
        <f t="shared" si="0"/>
        <v>4778.7642115124972</v>
      </c>
      <c r="J30" s="17">
        <f t="shared" si="0"/>
        <v>4631.1080325700623</v>
      </c>
      <c r="K30" s="17">
        <f t="shared" si="0"/>
        <v>4643.5135727329116</v>
      </c>
      <c r="L30" s="17">
        <f t="shared" si="0"/>
        <v>2505.9811405965752</v>
      </c>
      <c r="M30" s="17">
        <f t="shared" si="0"/>
        <v>2518.5110462995572</v>
      </c>
      <c r="N30" s="17">
        <f t="shared" si="0"/>
        <v>2531.1036015310556</v>
      </c>
      <c r="O30" s="17">
        <f t="shared" si="0"/>
        <v>2543.7591195387113</v>
      </c>
      <c r="P30" s="17">
        <f t="shared" si="0"/>
        <v>2556.4779151364028</v>
      </c>
    </row>
  </sheetData>
  <pageMargins left="0.7" right="0.7" top="0.78740157499999996" bottom="0.78740157499999996" header="0.3" footer="0.3"/>
  <pageSetup paperSize="9" orientation="portrait" horizontalDpi="4294967293" verticalDpi="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DD539DE4-B2C6-4D1F-85BE-06706A3696A0}">
          <x14:formula1>
            <xm:f>'Drop Downs'!$A$2:$A$8</xm:f>
          </x14:formula1>
          <xm:sqref>A10:A29</xm:sqref>
        </x14:dataValidation>
        <x14:dataValidation type="list" allowBlank="1" showInputMessage="1" showErrorMessage="1" xr:uid="{56CDB40E-3F28-4B43-B63E-A8EFFD33311C}">
          <x14:formula1>
            <xm:f>'Drop Downs'!$A$2:$A$9</xm:f>
          </x14:formula1>
          <xm:sqref>A4:A9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D4665-6939-4683-B297-5ADC06BA1F6F}">
  <dimension ref="A3:D29"/>
  <sheetViews>
    <sheetView zoomScale="55" zoomScaleNormal="55" workbookViewId="0">
      <selection activeCell="D16" sqref="D16"/>
    </sheetView>
  </sheetViews>
  <sheetFormatPr baseColWidth="10" defaultRowHeight="14.5"/>
  <cols>
    <col min="1" max="1" width="22.36328125" bestFit="1" customWidth="1"/>
    <col min="2" max="2" width="23.54296875" bestFit="1" customWidth="1"/>
    <col min="3" max="3" width="5.36328125" bestFit="1" customWidth="1"/>
    <col min="4" max="4" width="14.453125" bestFit="1" customWidth="1"/>
    <col min="5" max="5" width="20.81640625" bestFit="1" customWidth="1"/>
    <col min="6" max="6" width="25.36328125" bestFit="1" customWidth="1"/>
    <col min="7" max="7" width="23.54296875" bestFit="1" customWidth="1"/>
    <col min="8" max="8" width="12" bestFit="1" customWidth="1"/>
    <col min="9" max="9" width="14.453125" bestFit="1" customWidth="1"/>
    <col min="10" max="19" width="23.54296875" bestFit="1" customWidth="1"/>
    <col min="20" max="20" width="24.36328125" bestFit="1" customWidth="1"/>
    <col min="21" max="21" width="24.7265625" bestFit="1" customWidth="1"/>
    <col min="22" max="22" width="25.08984375" bestFit="1" customWidth="1"/>
    <col min="23" max="23" width="24.54296875" bestFit="1" customWidth="1"/>
    <col min="24" max="24" width="25.36328125" bestFit="1" customWidth="1"/>
    <col min="25" max="25" width="24.36328125" bestFit="1" customWidth="1"/>
    <col min="26" max="26" width="23.90625" bestFit="1" customWidth="1"/>
  </cols>
  <sheetData>
    <row r="3" spans="1:4">
      <c r="B3" s="29" t="s">
        <v>91</v>
      </c>
    </row>
    <row r="4" spans="1:4">
      <c r="A4" s="29" t="s">
        <v>86</v>
      </c>
      <c r="B4" t="s">
        <v>90</v>
      </c>
      <c r="C4" t="s">
        <v>89</v>
      </c>
      <c r="D4" t="s">
        <v>87</v>
      </c>
    </row>
    <row r="5" spans="1:4">
      <c r="A5" s="30" t="s">
        <v>21</v>
      </c>
      <c r="B5" s="28"/>
      <c r="C5" s="28"/>
      <c r="D5" s="28"/>
    </row>
    <row r="6" spans="1:4">
      <c r="A6" s="31" t="s">
        <v>92</v>
      </c>
      <c r="B6" s="28">
        <v>230</v>
      </c>
      <c r="C6" s="28">
        <v>230</v>
      </c>
      <c r="D6" s="28">
        <v>460</v>
      </c>
    </row>
    <row r="7" spans="1:4">
      <c r="A7" s="31" t="s">
        <v>93</v>
      </c>
      <c r="B7" s="32">
        <v>235</v>
      </c>
      <c r="C7" s="32">
        <v>231.3</v>
      </c>
      <c r="D7" s="32">
        <v>466.3</v>
      </c>
    </row>
    <row r="8" spans="1:4">
      <c r="A8" s="31" t="s">
        <v>94</v>
      </c>
      <c r="B8" s="32">
        <v>247</v>
      </c>
      <c r="C8" s="32">
        <v>238.61800000000002</v>
      </c>
      <c r="D8" s="32">
        <v>485.61800000000005</v>
      </c>
    </row>
    <row r="9" spans="1:4">
      <c r="A9" s="31" t="s">
        <v>95</v>
      </c>
      <c r="B9" s="32">
        <v>257</v>
      </c>
      <c r="C9" s="32">
        <v>240.45418000000001</v>
      </c>
      <c r="D9" s="32">
        <v>497.45418000000001</v>
      </c>
    </row>
    <row r="10" spans="1:4">
      <c r="A10" s="31" t="s">
        <v>96</v>
      </c>
      <c r="B10" s="32">
        <v>263</v>
      </c>
      <c r="C10" s="32">
        <v>242.30872180000003</v>
      </c>
      <c r="D10" s="32">
        <v>505.30872180000006</v>
      </c>
    </row>
    <row r="11" spans="1:4">
      <c r="A11" s="31" t="s">
        <v>97</v>
      </c>
      <c r="B11" s="32">
        <v>263</v>
      </c>
      <c r="C11" s="32">
        <v>245.18180901800002</v>
      </c>
      <c r="D11" s="32">
        <v>508.18180901800002</v>
      </c>
    </row>
    <row r="12" spans="1:4">
      <c r="A12" s="31" t="s">
        <v>98</v>
      </c>
      <c r="B12" s="32">
        <v>263</v>
      </c>
      <c r="C12" s="32">
        <v>248.07362710818003</v>
      </c>
      <c r="D12" s="32">
        <v>511.07362710818006</v>
      </c>
    </row>
    <row r="13" spans="1:4">
      <c r="A13" s="31" t="s">
        <v>99</v>
      </c>
      <c r="B13" s="32">
        <v>0</v>
      </c>
      <c r="C13" s="32">
        <v>250.98436337926185</v>
      </c>
      <c r="D13" s="32">
        <v>250.98436337926185</v>
      </c>
    </row>
    <row r="14" spans="1:4">
      <c r="A14" s="31" t="s">
        <v>100</v>
      </c>
      <c r="B14" s="32">
        <v>0</v>
      </c>
      <c r="C14" s="32">
        <v>253.91420701305447</v>
      </c>
      <c r="D14" s="32">
        <v>253.91420701305447</v>
      </c>
    </row>
    <row r="15" spans="1:4">
      <c r="A15" s="31" t="s">
        <v>101</v>
      </c>
      <c r="B15" s="32">
        <v>0</v>
      </c>
      <c r="C15" s="32">
        <v>255.86334908318503</v>
      </c>
      <c r="D15" s="32">
        <v>255.86334908318503</v>
      </c>
    </row>
    <row r="16" spans="1:4">
      <c r="A16" s="31" t="s">
        <v>102</v>
      </c>
      <c r="B16" s="32">
        <v>0</v>
      </c>
      <c r="C16" s="32">
        <v>257.83198257401682</v>
      </c>
      <c r="D16" s="32">
        <v>257.83198257401682</v>
      </c>
    </row>
    <row r="17" spans="1:4">
      <c r="A17" s="31" t="s">
        <v>103</v>
      </c>
      <c r="B17" s="32">
        <v>0</v>
      </c>
      <c r="C17" s="32">
        <v>259.820302399757</v>
      </c>
      <c r="D17" s="32">
        <v>259.820302399757</v>
      </c>
    </row>
    <row r="18" spans="1:4">
      <c r="A18" s="30" t="s">
        <v>105</v>
      </c>
      <c r="B18" s="28">
        <v>230</v>
      </c>
      <c r="C18" s="28">
        <v>230</v>
      </c>
      <c r="D18" s="28">
        <v>460</v>
      </c>
    </row>
    <row r="19" spans="1:4">
      <c r="A19" s="30" t="s">
        <v>106</v>
      </c>
      <c r="B19" s="32">
        <v>235</v>
      </c>
      <c r="C19" s="32">
        <v>231.3</v>
      </c>
      <c r="D19" s="32">
        <v>466.3</v>
      </c>
    </row>
    <row r="20" spans="1:4">
      <c r="A20" s="30" t="s">
        <v>107</v>
      </c>
      <c r="B20" s="32">
        <v>247</v>
      </c>
      <c r="C20" s="32">
        <v>238.61800000000002</v>
      </c>
      <c r="D20" s="32">
        <v>485.61800000000005</v>
      </c>
    </row>
    <row r="21" spans="1:4">
      <c r="A21" s="30" t="s">
        <v>108</v>
      </c>
      <c r="B21" s="32">
        <v>257</v>
      </c>
      <c r="C21" s="32">
        <v>240.45418000000001</v>
      </c>
      <c r="D21" s="32">
        <v>497.45418000000001</v>
      </c>
    </row>
    <row r="22" spans="1:4">
      <c r="A22" s="30" t="s">
        <v>109</v>
      </c>
      <c r="B22" s="32">
        <v>263</v>
      </c>
      <c r="C22" s="32">
        <v>242.30872180000003</v>
      </c>
      <c r="D22" s="32">
        <v>505.30872180000006</v>
      </c>
    </row>
    <row r="23" spans="1:4">
      <c r="A23" s="30" t="s">
        <v>110</v>
      </c>
      <c r="B23" s="32">
        <v>263</v>
      </c>
      <c r="C23" s="32">
        <v>245.18180901800002</v>
      </c>
      <c r="D23" s="32">
        <v>508.18180901800002</v>
      </c>
    </row>
    <row r="24" spans="1:4">
      <c r="A24" s="30" t="s">
        <v>111</v>
      </c>
      <c r="B24" s="32">
        <v>263</v>
      </c>
      <c r="C24" s="32">
        <v>248.07362710818003</v>
      </c>
      <c r="D24" s="32">
        <v>511.07362710818006</v>
      </c>
    </row>
    <row r="25" spans="1:4">
      <c r="A25" s="30" t="s">
        <v>112</v>
      </c>
      <c r="B25" s="32">
        <v>0</v>
      </c>
      <c r="C25" s="32">
        <v>250.98436337926185</v>
      </c>
      <c r="D25" s="32">
        <v>250.98436337926185</v>
      </c>
    </row>
    <row r="26" spans="1:4">
      <c r="A26" s="30" t="s">
        <v>113</v>
      </c>
      <c r="B26" s="32">
        <v>0</v>
      </c>
      <c r="C26" s="32">
        <v>253.91420701305447</v>
      </c>
      <c r="D26" s="32">
        <v>253.91420701305447</v>
      </c>
    </row>
    <row r="27" spans="1:4">
      <c r="A27" s="30" t="s">
        <v>114</v>
      </c>
      <c r="B27" s="32">
        <v>0</v>
      </c>
      <c r="C27" s="32">
        <v>255.86334908318503</v>
      </c>
      <c r="D27" s="32">
        <v>255.86334908318503</v>
      </c>
    </row>
    <row r="28" spans="1:4">
      <c r="A28" s="30" t="s">
        <v>115</v>
      </c>
      <c r="B28" s="32">
        <v>0</v>
      </c>
      <c r="C28" s="32">
        <v>257.83198257401682</v>
      </c>
      <c r="D28" s="32">
        <v>257.83198257401682</v>
      </c>
    </row>
    <row r="29" spans="1:4">
      <c r="A29" s="30" t="s">
        <v>116</v>
      </c>
      <c r="B29" s="32">
        <v>0</v>
      </c>
      <c r="C29" s="32">
        <v>259.820302399757</v>
      </c>
      <c r="D29" s="32">
        <v>259.820302399757</v>
      </c>
    </row>
  </sheetData>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65244-8A9F-4383-94FB-97AC185863E9}">
  <dimension ref="A3:D29"/>
  <sheetViews>
    <sheetView zoomScale="55" zoomScaleNormal="55" workbookViewId="0">
      <selection activeCell="B20" sqref="B20"/>
    </sheetView>
  </sheetViews>
  <sheetFormatPr baseColWidth="10" defaultRowHeight="14.5"/>
  <cols>
    <col min="1" max="1" width="22.36328125" bestFit="1" customWidth="1"/>
    <col min="2" max="2" width="23.54296875" bestFit="1" customWidth="1"/>
    <col min="3" max="3" width="5.36328125" bestFit="1" customWidth="1"/>
    <col min="4" max="4" width="14.453125" bestFit="1" customWidth="1"/>
    <col min="5" max="24" width="23.54296875" bestFit="1" customWidth="1"/>
    <col min="25" max="25" width="24.36328125" bestFit="1" customWidth="1"/>
    <col min="26" max="26" width="24.7265625" bestFit="1" customWidth="1"/>
    <col min="27" max="27" width="25.08984375" bestFit="1" customWidth="1"/>
    <col min="28" max="28" width="24.54296875" bestFit="1" customWidth="1"/>
    <col min="29" max="29" width="25.36328125" bestFit="1" customWidth="1"/>
    <col min="30" max="30" width="24.36328125" bestFit="1" customWidth="1"/>
    <col min="31" max="31" width="23.90625" bestFit="1" customWidth="1"/>
    <col min="32" max="32" width="24.90625" bestFit="1" customWidth="1"/>
    <col min="33" max="33" width="24.7265625" bestFit="1" customWidth="1"/>
    <col min="34" max="34" width="24.54296875" bestFit="1" customWidth="1"/>
    <col min="35" max="35" width="25.08984375" bestFit="1" customWidth="1"/>
    <col min="36" max="37" width="24.90625" bestFit="1" customWidth="1"/>
  </cols>
  <sheetData>
    <row r="3" spans="1:4">
      <c r="B3" s="29" t="s">
        <v>91</v>
      </c>
    </row>
    <row r="4" spans="1:4">
      <c r="A4" s="29" t="s">
        <v>86</v>
      </c>
      <c r="B4" t="s">
        <v>90</v>
      </c>
      <c r="C4" t="s">
        <v>89</v>
      </c>
      <c r="D4" t="s">
        <v>87</v>
      </c>
    </row>
    <row r="5" spans="1:4">
      <c r="A5" s="30" t="s">
        <v>21</v>
      </c>
      <c r="B5" s="32"/>
      <c r="C5" s="32"/>
      <c r="D5" s="32"/>
    </row>
    <row r="6" spans="1:4">
      <c r="A6" s="31" t="s">
        <v>92</v>
      </c>
      <c r="B6" s="32">
        <v>100</v>
      </c>
      <c r="C6" s="32">
        <v>100</v>
      </c>
      <c r="D6" s="32">
        <v>200</v>
      </c>
    </row>
    <row r="7" spans="1:4">
      <c r="A7" s="31" t="s">
        <v>93</v>
      </c>
      <c r="B7" s="32">
        <v>100</v>
      </c>
      <c r="C7" s="32">
        <v>100.49999999999999</v>
      </c>
      <c r="D7" s="32">
        <v>200.5</v>
      </c>
    </row>
    <row r="8" spans="1:4">
      <c r="A8" s="31" t="s">
        <v>94</v>
      </c>
      <c r="B8" s="32">
        <v>100</v>
      </c>
      <c r="C8" s="32">
        <v>101.00249999999997</v>
      </c>
      <c r="D8" s="32">
        <v>201.00249999999997</v>
      </c>
    </row>
    <row r="9" spans="1:4">
      <c r="A9" s="31" t="s">
        <v>95</v>
      </c>
      <c r="B9" s="32">
        <v>110</v>
      </c>
      <c r="C9" s="32">
        <v>101.50751249999996</v>
      </c>
      <c r="D9" s="32">
        <v>211.50751249999996</v>
      </c>
    </row>
    <row r="10" spans="1:4">
      <c r="A10" s="31" t="s">
        <v>96</v>
      </c>
      <c r="B10" s="32">
        <v>115</v>
      </c>
      <c r="C10" s="32">
        <v>102.01505006249995</v>
      </c>
      <c r="D10" s="32">
        <v>217.01505006249994</v>
      </c>
    </row>
    <row r="11" spans="1:4">
      <c r="A11" s="31" t="s">
        <v>97</v>
      </c>
      <c r="B11" s="32">
        <v>90</v>
      </c>
      <c r="C11" s="32">
        <v>102.52512531281243</v>
      </c>
      <c r="D11" s="32">
        <v>192.52512531281243</v>
      </c>
    </row>
    <row r="12" spans="1:4">
      <c r="A12" s="31" t="s">
        <v>98</v>
      </c>
      <c r="B12" s="32">
        <v>90</v>
      </c>
      <c r="C12" s="32">
        <v>103.03775093937648</v>
      </c>
      <c r="D12" s="32">
        <v>193.03775093937648</v>
      </c>
    </row>
    <row r="13" spans="1:4">
      <c r="A13" s="31" t="s">
        <v>99</v>
      </c>
      <c r="B13" s="32">
        <v>0</v>
      </c>
      <c r="C13" s="32">
        <v>103.55293969407334</v>
      </c>
      <c r="D13" s="32">
        <v>103.55293969407334</v>
      </c>
    </row>
    <row r="14" spans="1:4">
      <c r="A14" s="31" t="s">
        <v>100</v>
      </c>
      <c r="B14" s="32">
        <v>0</v>
      </c>
      <c r="C14" s="32">
        <v>104.0707043925437</v>
      </c>
      <c r="D14" s="32">
        <v>104.0707043925437</v>
      </c>
    </row>
    <row r="15" spans="1:4">
      <c r="A15" s="31" t="s">
        <v>101</v>
      </c>
      <c r="B15" s="32">
        <v>0</v>
      </c>
      <c r="C15" s="32">
        <v>104.59105791450641</v>
      </c>
      <c r="D15" s="32">
        <v>104.59105791450641</v>
      </c>
    </row>
    <row r="16" spans="1:4">
      <c r="A16" s="31" t="s">
        <v>102</v>
      </c>
      <c r="B16" s="32">
        <v>0</v>
      </c>
      <c r="C16" s="32">
        <v>105.11401320407893</v>
      </c>
      <c r="D16" s="32">
        <v>105.11401320407893</v>
      </c>
    </row>
    <row r="17" spans="1:4">
      <c r="A17" s="31" t="s">
        <v>103</v>
      </c>
      <c r="B17" s="32">
        <v>0</v>
      </c>
      <c r="C17" s="32">
        <v>105.63958327009931</v>
      </c>
      <c r="D17" s="32">
        <v>105.63958327009931</v>
      </c>
    </row>
    <row r="18" spans="1:4">
      <c r="A18" s="30" t="s">
        <v>105</v>
      </c>
      <c r="B18" s="32">
        <v>100</v>
      </c>
      <c r="C18" s="32">
        <v>100</v>
      </c>
      <c r="D18" s="32">
        <v>200</v>
      </c>
    </row>
    <row r="19" spans="1:4">
      <c r="A19" s="30" t="s">
        <v>106</v>
      </c>
      <c r="B19" s="32">
        <v>100</v>
      </c>
      <c r="C19" s="32">
        <v>100.49999999999999</v>
      </c>
      <c r="D19" s="32">
        <v>200.5</v>
      </c>
    </row>
    <row r="20" spans="1:4">
      <c r="A20" s="30" t="s">
        <v>107</v>
      </c>
      <c r="B20" s="32">
        <v>100</v>
      </c>
      <c r="C20" s="32">
        <v>101.00249999999997</v>
      </c>
      <c r="D20" s="32">
        <v>201.00249999999997</v>
      </c>
    </row>
    <row r="21" spans="1:4">
      <c r="A21" s="30" t="s">
        <v>108</v>
      </c>
      <c r="B21" s="32">
        <v>110</v>
      </c>
      <c r="C21" s="32">
        <v>101.50751249999996</v>
      </c>
      <c r="D21" s="32">
        <v>211.50751249999996</v>
      </c>
    </row>
    <row r="22" spans="1:4">
      <c r="A22" s="30" t="s">
        <v>109</v>
      </c>
      <c r="B22" s="32">
        <v>115</v>
      </c>
      <c r="C22" s="32">
        <v>102.01505006249995</v>
      </c>
      <c r="D22" s="32">
        <v>217.01505006249994</v>
      </c>
    </row>
    <row r="23" spans="1:4">
      <c r="A23" s="30" t="s">
        <v>110</v>
      </c>
      <c r="B23" s="32">
        <v>90</v>
      </c>
      <c r="C23" s="32">
        <v>102.52512531281243</v>
      </c>
      <c r="D23" s="32">
        <v>192.52512531281243</v>
      </c>
    </row>
    <row r="24" spans="1:4">
      <c r="A24" s="30" t="s">
        <v>111</v>
      </c>
      <c r="B24" s="32">
        <v>90</v>
      </c>
      <c r="C24" s="32">
        <v>103.03775093937648</v>
      </c>
      <c r="D24" s="32">
        <v>193.03775093937648</v>
      </c>
    </row>
    <row r="25" spans="1:4">
      <c r="A25" s="30" t="s">
        <v>112</v>
      </c>
      <c r="B25" s="32">
        <v>0</v>
      </c>
      <c r="C25" s="32">
        <v>103.55293969407334</v>
      </c>
      <c r="D25" s="32">
        <v>103.55293969407334</v>
      </c>
    </row>
    <row r="26" spans="1:4">
      <c r="A26" s="30" t="s">
        <v>113</v>
      </c>
      <c r="B26" s="32">
        <v>0</v>
      </c>
      <c r="C26" s="32">
        <v>104.0707043925437</v>
      </c>
      <c r="D26" s="32">
        <v>104.0707043925437</v>
      </c>
    </row>
    <row r="27" spans="1:4">
      <c r="A27" s="30" t="s">
        <v>114</v>
      </c>
      <c r="B27" s="32">
        <v>0</v>
      </c>
      <c r="C27" s="32">
        <v>104.59105791450641</v>
      </c>
      <c r="D27" s="32">
        <v>104.59105791450641</v>
      </c>
    </row>
    <row r="28" spans="1:4">
      <c r="A28" s="30" t="s">
        <v>115</v>
      </c>
      <c r="B28" s="32">
        <v>0</v>
      </c>
      <c r="C28" s="32">
        <v>105.11401320407893</v>
      </c>
      <c r="D28" s="32">
        <v>105.11401320407893</v>
      </c>
    </row>
    <row r="29" spans="1:4">
      <c r="A29" s="30" t="s">
        <v>116</v>
      </c>
      <c r="B29" s="32">
        <v>0</v>
      </c>
      <c r="C29" s="32">
        <v>105.63958327009931</v>
      </c>
      <c r="D29" s="32">
        <v>105.63958327009931</v>
      </c>
    </row>
  </sheetData>
  <pageMargins left="0.7" right="0.7" top="0.78740157499999996" bottom="0.78740157499999996" header="0.3" footer="0.3"/>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Dashboard</vt:lpstr>
      <vt:lpstr>FTE Reporting PLAN</vt:lpstr>
      <vt:lpstr>FTE Reporting ACT</vt:lpstr>
      <vt:lpstr>FTE Reporting PLAN ACT</vt:lpstr>
      <vt:lpstr>Umsatz PLAN</vt:lpstr>
      <vt:lpstr>Umsatz ACT</vt:lpstr>
      <vt:lpstr>Umsatz PLAN ACT </vt:lpstr>
      <vt:lpstr>Pivot 1 FTE</vt:lpstr>
      <vt:lpstr>Pivot 2 Umsatz </vt:lpstr>
      <vt:lpstr>Drop 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dc:creator>
  <cp:lastModifiedBy>Nina</cp:lastModifiedBy>
  <dcterms:created xsi:type="dcterms:W3CDTF">2021-11-17T05:09:20Z</dcterms:created>
  <dcterms:modified xsi:type="dcterms:W3CDTF">2021-11-19T13:15:11Z</dcterms:modified>
</cp:coreProperties>
</file>